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30" windowWidth="15225" windowHeight="7725"/>
  </bookViews>
  <sheets>
    <sheet name="HeatingDetail" sheetId="1" r:id="rId1"/>
    <sheet name="HydroDetail" sheetId="4" r:id="rId2"/>
    <sheet name="Water" sheetId="9" r:id="rId3"/>
    <sheet name="HeatingHydroSummary" sheetId="2" r:id="rId4"/>
    <sheet name="HydroRates" sheetId="3" r:id="rId5"/>
    <sheet name="HydroRatesSummary" sheetId="6" r:id="rId6"/>
    <sheet name="Retrofit" sheetId="7" r:id="rId7"/>
    <sheet name="Sheet2" sheetId="8" r:id="rId8"/>
  </sheets>
  <definedNames>
    <definedName name="chart" localSheetId="5">HydroRatesSummary!$B$133</definedName>
    <definedName name="_xlnm.Print_Area" localSheetId="0">HeatingDetail!$A$66:$Q$102</definedName>
    <definedName name="_xlnm.Print_Area" localSheetId="1">HydroDetail!$A$66:$R$102</definedName>
  </definedNames>
  <calcPr calcId="145621"/>
</workbook>
</file>

<file path=xl/calcChain.xml><?xml version="1.0" encoding="utf-8"?>
<calcChain xmlns="http://schemas.openxmlformats.org/spreadsheetml/2006/main">
  <c r="F219" i="4" l="1"/>
  <c r="E219" i="4"/>
  <c r="F218" i="4" l="1"/>
  <c r="E218" i="4"/>
  <c r="J231" i="4"/>
  <c r="H231" i="4"/>
  <c r="G231" i="4"/>
  <c r="B231" i="4"/>
  <c r="C229" i="4" s="1"/>
  <c r="I229" i="4"/>
  <c r="O228" i="4"/>
  <c r="I228" i="4"/>
  <c r="C228" i="4"/>
  <c r="I227" i="4"/>
  <c r="C227" i="4"/>
  <c r="O226" i="4"/>
  <c r="I226" i="4"/>
  <c r="I225" i="4"/>
  <c r="C225" i="4"/>
  <c r="O224" i="4"/>
  <c r="I224" i="4"/>
  <c r="I223" i="4"/>
  <c r="C223" i="4"/>
  <c r="O222" i="4"/>
  <c r="I222" i="4"/>
  <c r="C222" i="4"/>
  <c r="I221" i="4"/>
  <c r="C221" i="4"/>
  <c r="O220" i="4"/>
  <c r="I220" i="4"/>
  <c r="C220" i="4"/>
  <c r="I219" i="4"/>
  <c r="C219" i="4"/>
  <c r="O218" i="4"/>
  <c r="M218" i="4"/>
  <c r="F231" i="4"/>
  <c r="E231" i="4"/>
  <c r="D218" i="4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C218" i="4"/>
  <c r="K231" i="1"/>
  <c r="J231" i="1"/>
  <c r="I231" i="1"/>
  <c r="F231" i="1"/>
  <c r="E231" i="1"/>
  <c r="B231" i="1"/>
  <c r="N229" i="1"/>
  <c r="P229" i="1" s="1"/>
  <c r="L229" i="1"/>
  <c r="G229" i="1"/>
  <c r="M229" i="1" s="1"/>
  <c r="C229" i="1"/>
  <c r="N228" i="1"/>
  <c r="P228" i="1" s="1"/>
  <c r="L228" i="1"/>
  <c r="G228" i="1"/>
  <c r="M228" i="1" s="1"/>
  <c r="C228" i="1"/>
  <c r="N227" i="1"/>
  <c r="P227" i="1" s="1"/>
  <c r="L227" i="1"/>
  <c r="G227" i="1"/>
  <c r="M227" i="1" s="1"/>
  <c r="C227" i="1"/>
  <c r="N226" i="1"/>
  <c r="P226" i="1" s="1"/>
  <c r="L226" i="1"/>
  <c r="G226" i="1"/>
  <c r="M226" i="1" s="1"/>
  <c r="C226" i="1"/>
  <c r="N225" i="1"/>
  <c r="P225" i="1" s="1"/>
  <c r="L225" i="1"/>
  <c r="G225" i="1"/>
  <c r="M225" i="1" s="1"/>
  <c r="C225" i="1"/>
  <c r="N224" i="1"/>
  <c r="P224" i="1" s="1"/>
  <c r="L224" i="1"/>
  <c r="G224" i="1"/>
  <c r="M224" i="1" s="1"/>
  <c r="C224" i="1"/>
  <c r="N223" i="1"/>
  <c r="P223" i="1" s="1"/>
  <c r="L223" i="1"/>
  <c r="G223" i="1"/>
  <c r="M223" i="1" s="1"/>
  <c r="C223" i="1"/>
  <c r="N222" i="1"/>
  <c r="P222" i="1" s="1"/>
  <c r="L222" i="1"/>
  <c r="G222" i="1"/>
  <c r="M222" i="1" s="1"/>
  <c r="C222" i="1"/>
  <c r="N221" i="1"/>
  <c r="P221" i="1" s="1"/>
  <c r="L221" i="1"/>
  <c r="G221" i="1"/>
  <c r="M221" i="1" s="1"/>
  <c r="C221" i="1"/>
  <c r="N220" i="1"/>
  <c r="P220" i="1" s="1"/>
  <c r="L220" i="1"/>
  <c r="G220" i="1"/>
  <c r="M220" i="1" s="1"/>
  <c r="C220" i="1"/>
  <c r="N219" i="1"/>
  <c r="P219" i="1" s="1"/>
  <c r="L219" i="1"/>
  <c r="G219" i="1"/>
  <c r="M219" i="1" s="1"/>
  <c r="C219" i="1"/>
  <c r="N218" i="1"/>
  <c r="P218" i="1" s="1"/>
  <c r="L218" i="1"/>
  <c r="L231" i="1" s="1"/>
  <c r="G218" i="1"/>
  <c r="D218" i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C218" i="1"/>
  <c r="C231" i="1" s="1"/>
  <c r="C224" i="4" l="1"/>
  <c r="O218" i="1"/>
  <c r="O219" i="1" s="1"/>
  <c r="C226" i="4"/>
  <c r="C231" i="4" s="1"/>
  <c r="K220" i="4"/>
  <c r="L220" i="4"/>
  <c r="Q220" i="4" s="1"/>
  <c r="L221" i="4"/>
  <c r="Q221" i="4" s="1"/>
  <c r="K221" i="4"/>
  <c r="K224" i="4"/>
  <c r="L224" i="4"/>
  <c r="Q224" i="4" s="1"/>
  <c r="L225" i="4"/>
  <c r="Q225" i="4" s="1"/>
  <c r="K225" i="4"/>
  <c r="K228" i="4"/>
  <c r="L228" i="4"/>
  <c r="Q228" i="4" s="1"/>
  <c r="L229" i="4"/>
  <c r="Q229" i="4" s="1"/>
  <c r="K229" i="4"/>
  <c r="L219" i="4"/>
  <c r="Q219" i="4" s="1"/>
  <c r="K219" i="4"/>
  <c r="K222" i="4"/>
  <c r="L222" i="4"/>
  <c r="Q222" i="4" s="1"/>
  <c r="L223" i="4"/>
  <c r="Q223" i="4" s="1"/>
  <c r="K223" i="4"/>
  <c r="K226" i="4"/>
  <c r="L226" i="4"/>
  <c r="Q226" i="4" s="1"/>
  <c r="L227" i="4"/>
  <c r="Q227" i="4" s="1"/>
  <c r="K227" i="4"/>
  <c r="I218" i="4"/>
  <c r="P218" i="4"/>
  <c r="M219" i="4"/>
  <c r="O219" i="4"/>
  <c r="O221" i="4"/>
  <c r="O223" i="4"/>
  <c r="O225" i="4"/>
  <c r="O227" i="4"/>
  <c r="O229" i="4"/>
  <c r="M218" i="1"/>
  <c r="M231" i="1" s="1"/>
  <c r="Q219" i="1"/>
  <c r="O220" i="1"/>
  <c r="Q218" i="1"/>
  <c r="G231" i="1"/>
  <c r="N231" i="1"/>
  <c r="P231" i="1" s="1"/>
  <c r="F208" i="4"/>
  <c r="E208" i="4"/>
  <c r="M220" i="4" l="1"/>
  <c r="P219" i="4"/>
  <c r="K218" i="4"/>
  <c r="K231" i="4" s="1"/>
  <c r="I231" i="4"/>
  <c r="L218" i="4"/>
  <c r="O221" i="1"/>
  <c r="Q220" i="1"/>
  <c r="F207" i="4"/>
  <c r="E207" i="4"/>
  <c r="L231" i="4" l="1"/>
  <c r="Q231" i="4" s="1"/>
  <c r="Q218" i="4"/>
  <c r="N218" i="4"/>
  <c r="M221" i="4"/>
  <c r="P220" i="4"/>
  <c r="Q221" i="1"/>
  <c r="O222" i="1"/>
  <c r="E206" i="4"/>
  <c r="F206" i="4"/>
  <c r="N219" i="4" l="1"/>
  <c r="R218" i="4"/>
  <c r="M222" i="4"/>
  <c r="P221" i="4"/>
  <c r="O223" i="1"/>
  <c r="Q222" i="1"/>
  <c r="F205" i="4"/>
  <c r="E205" i="4"/>
  <c r="M223" i="4" l="1"/>
  <c r="P222" i="4"/>
  <c r="R219" i="4"/>
  <c r="N220" i="4"/>
  <c r="Q223" i="1"/>
  <c r="O224" i="1"/>
  <c r="F204" i="4"/>
  <c r="E204" i="4"/>
  <c r="N221" i="4" l="1"/>
  <c r="R220" i="4"/>
  <c r="M224" i="4"/>
  <c r="P223" i="4"/>
  <c r="O225" i="1"/>
  <c r="Q224" i="1"/>
  <c r="F203" i="4"/>
  <c r="E203" i="4"/>
  <c r="M225" i="4" l="1"/>
  <c r="P224" i="4"/>
  <c r="R221" i="4"/>
  <c r="N222" i="4"/>
  <c r="Q225" i="1"/>
  <c r="O226" i="1"/>
  <c r="F202" i="4"/>
  <c r="E202" i="4"/>
  <c r="N223" i="4" l="1"/>
  <c r="R222" i="4"/>
  <c r="M226" i="4"/>
  <c r="P225" i="4"/>
  <c r="O227" i="1"/>
  <c r="Q226" i="1"/>
  <c r="M49" i="9"/>
  <c r="J49" i="9"/>
  <c r="I49" i="9"/>
  <c r="L48" i="9"/>
  <c r="K48" i="9"/>
  <c r="H48" i="9"/>
  <c r="L47" i="9"/>
  <c r="H47" i="9"/>
  <c r="K47" i="9" s="1"/>
  <c r="L46" i="9"/>
  <c r="K46" i="9"/>
  <c r="H46" i="9"/>
  <c r="L45" i="9"/>
  <c r="H45" i="9"/>
  <c r="K45" i="9" s="1"/>
  <c r="M227" i="4" l="1"/>
  <c r="P226" i="4"/>
  <c r="R223" i="4"/>
  <c r="N224" i="4"/>
  <c r="Q227" i="1"/>
  <c r="O228" i="1"/>
  <c r="L49" i="9"/>
  <c r="H49" i="9"/>
  <c r="K49" i="9" s="1"/>
  <c r="F201" i="4"/>
  <c r="E201" i="4"/>
  <c r="N225" i="4" l="1"/>
  <c r="R224" i="4"/>
  <c r="M228" i="4"/>
  <c r="P227" i="4"/>
  <c r="O229" i="1"/>
  <c r="Q229" i="1" s="1"/>
  <c r="Q228" i="1"/>
  <c r="F200" i="4"/>
  <c r="E200" i="4"/>
  <c r="M229" i="4" l="1"/>
  <c r="P228" i="4"/>
  <c r="R225" i="4"/>
  <c r="N226" i="4"/>
  <c r="F199" i="4"/>
  <c r="E199" i="4"/>
  <c r="N227" i="4" l="1"/>
  <c r="R226" i="4"/>
  <c r="P229" i="4"/>
  <c r="M231" i="4"/>
  <c r="F198" i="4"/>
  <c r="E198" i="4"/>
  <c r="R227" i="4" l="1"/>
  <c r="N228" i="4"/>
  <c r="J42" i="9"/>
  <c r="L42" i="9" s="1"/>
  <c r="I42" i="9"/>
  <c r="K42" i="9" s="1"/>
  <c r="H42" i="9"/>
  <c r="J35" i="9"/>
  <c r="L35" i="9" s="1"/>
  <c r="I35" i="9"/>
  <c r="K35" i="9" s="1"/>
  <c r="H35" i="9"/>
  <c r="J28" i="9"/>
  <c r="L28" i="9" s="1"/>
  <c r="N229" i="4" l="1"/>
  <c r="R229" i="4" s="1"/>
  <c r="R228" i="4"/>
  <c r="K210" i="1"/>
  <c r="J210" i="1"/>
  <c r="I210" i="1"/>
  <c r="F210" i="1"/>
  <c r="E210" i="1"/>
  <c r="B210" i="1"/>
  <c r="N208" i="1"/>
  <c r="P208" i="1" s="1"/>
  <c r="L208" i="1"/>
  <c r="G208" i="1"/>
  <c r="M208" i="1" s="1"/>
  <c r="C208" i="1"/>
  <c r="N207" i="1"/>
  <c r="P207" i="1" s="1"/>
  <c r="L207" i="1"/>
  <c r="G207" i="1"/>
  <c r="M207" i="1" s="1"/>
  <c r="C207" i="1"/>
  <c r="N206" i="1"/>
  <c r="P206" i="1" s="1"/>
  <c r="L206" i="1"/>
  <c r="G206" i="1"/>
  <c r="M206" i="1" s="1"/>
  <c r="C206" i="1"/>
  <c r="N205" i="1"/>
  <c r="P205" i="1" s="1"/>
  <c r="L205" i="1"/>
  <c r="G205" i="1"/>
  <c r="M205" i="1" s="1"/>
  <c r="C205" i="1"/>
  <c r="N204" i="1"/>
  <c r="P204" i="1" s="1"/>
  <c r="L204" i="1"/>
  <c r="G204" i="1"/>
  <c r="M204" i="1" s="1"/>
  <c r="C204" i="1"/>
  <c r="N203" i="1"/>
  <c r="P203" i="1" s="1"/>
  <c r="L203" i="1"/>
  <c r="G203" i="1"/>
  <c r="M203" i="1" s="1"/>
  <c r="C203" i="1"/>
  <c r="N202" i="1"/>
  <c r="P202" i="1" s="1"/>
  <c r="L202" i="1"/>
  <c r="G202" i="1"/>
  <c r="M202" i="1" s="1"/>
  <c r="C202" i="1"/>
  <c r="N201" i="1"/>
  <c r="P201" i="1" s="1"/>
  <c r="L201" i="1"/>
  <c r="G201" i="1"/>
  <c r="M201" i="1" s="1"/>
  <c r="C201" i="1"/>
  <c r="N200" i="1"/>
  <c r="P200" i="1" s="1"/>
  <c r="L200" i="1"/>
  <c r="G200" i="1"/>
  <c r="M200" i="1" s="1"/>
  <c r="C200" i="1"/>
  <c r="N199" i="1"/>
  <c r="P199" i="1" s="1"/>
  <c r="L199" i="1"/>
  <c r="G199" i="1"/>
  <c r="M199" i="1" s="1"/>
  <c r="C199" i="1"/>
  <c r="N198" i="1"/>
  <c r="P198" i="1" s="1"/>
  <c r="L198" i="1"/>
  <c r="G198" i="1"/>
  <c r="M198" i="1" s="1"/>
  <c r="C198" i="1"/>
  <c r="N197" i="1"/>
  <c r="P197" i="1" s="1"/>
  <c r="L197" i="1"/>
  <c r="L210" i="1" s="1"/>
  <c r="G197" i="1"/>
  <c r="G210" i="1" s="1"/>
  <c r="D197" i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C197" i="1"/>
  <c r="C210" i="1" l="1"/>
  <c r="M197" i="1"/>
  <c r="M210" i="1" s="1"/>
  <c r="O197" i="1"/>
  <c r="N210" i="1"/>
  <c r="P210" i="1" s="1"/>
  <c r="F197" i="4"/>
  <c r="E197" i="4"/>
  <c r="J210" i="4"/>
  <c r="H210" i="4"/>
  <c r="G210" i="4"/>
  <c r="B210" i="4"/>
  <c r="C208" i="4" s="1"/>
  <c r="O208" i="4"/>
  <c r="I208" i="4"/>
  <c r="O207" i="4"/>
  <c r="O206" i="4"/>
  <c r="I206" i="4"/>
  <c r="O205" i="4"/>
  <c r="O204" i="4"/>
  <c r="I204" i="4"/>
  <c r="O203" i="4"/>
  <c r="O202" i="4"/>
  <c r="I202" i="4"/>
  <c r="C202" i="4"/>
  <c r="O201" i="4"/>
  <c r="C201" i="4"/>
  <c r="O200" i="4"/>
  <c r="I200" i="4"/>
  <c r="O199" i="4"/>
  <c r="C199" i="4"/>
  <c r="O198" i="4"/>
  <c r="F210" i="4"/>
  <c r="I198" i="4"/>
  <c r="C198" i="4"/>
  <c r="O197" i="4"/>
  <c r="M197" i="4"/>
  <c r="I197" i="4"/>
  <c r="K197" i="4" s="1"/>
  <c r="D197" i="4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C205" i="4" l="1"/>
  <c r="C207" i="4"/>
  <c r="C197" i="4"/>
  <c r="C200" i="4"/>
  <c r="C203" i="4"/>
  <c r="C204" i="4"/>
  <c r="O198" i="1"/>
  <c r="Q197" i="1"/>
  <c r="C206" i="4"/>
  <c r="L200" i="4"/>
  <c r="Q200" i="4" s="1"/>
  <c r="K200" i="4"/>
  <c r="L204" i="4"/>
  <c r="Q204" i="4" s="1"/>
  <c r="K204" i="4"/>
  <c r="L208" i="4"/>
  <c r="Q208" i="4" s="1"/>
  <c r="K208" i="4"/>
  <c r="L198" i="4"/>
  <c r="Q198" i="4" s="1"/>
  <c r="K198" i="4"/>
  <c r="L202" i="4"/>
  <c r="Q202" i="4" s="1"/>
  <c r="K202" i="4"/>
  <c r="L206" i="4"/>
  <c r="Q206" i="4" s="1"/>
  <c r="K206" i="4"/>
  <c r="L197" i="4"/>
  <c r="Q197" i="4" s="1"/>
  <c r="P197" i="4"/>
  <c r="M198" i="4"/>
  <c r="I199" i="4"/>
  <c r="I201" i="4"/>
  <c r="I203" i="4"/>
  <c r="I205" i="4"/>
  <c r="I207" i="4"/>
  <c r="E210" i="4"/>
  <c r="F187" i="4"/>
  <c r="E187" i="4"/>
  <c r="C210" i="4" l="1"/>
  <c r="Q198" i="1"/>
  <c r="O199" i="1"/>
  <c r="K201" i="4"/>
  <c r="L201" i="4"/>
  <c r="Q201" i="4" s="1"/>
  <c r="N197" i="4"/>
  <c r="I210" i="4"/>
  <c r="K205" i="4"/>
  <c r="L205" i="4"/>
  <c r="Q205" i="4" s="1"/>
  <c r="M199" i="4"/>
  <c r="P198" i="4"/>
  <c r="K207" i="4"/>
  <c r="L207" i="4"/>
  <c r="Q207" i="4" s="1"/>
  <c r="K203" i="4"/>
  <c r="L203" i="4"/>
  <c r="Q203" i="4" s="1"/>
  <c r="K199" i="4"/>
  <c r="K210" i="4" s="1"/>
  <c r="L199" i="4"/>
  <c r="Q199" i="4" s="1"/>
  <c r="F186" i="4"/>
  <c r="E186" i="4"/>
  <c r="O200" i="1" l="1"/>
  <c r="Q199" i="1"/>
  <c r="L210" i="4"/>
  <c r="Q210" i="4" s="1"/>
  <c r="M200" i="4"/>
  <c r="P199" i="4"/>
  <c r="N198" i="4"/>
  <c r="R197" i="4"/>
  <c r="F185" i="4"/>
  <c r="E185" i="4"/>
  <c r="Q200" i="1" l="1"/>
  <c r="O201" i="1"/>
  <c r="R198" i="4"/>
  <c r="N199" i="4"/>
  <c r="M201" i="4"/>
  <c r="P200" i="4"/>
  <c r="F184" i="4"/>
  <c r="E184" i="4"/>
  <c r="O202" i="1" l="1"/>
  <c r="Q201" i="1"/>
  <c r="N200" i="4"/>
  <c r="R199" i="4"/>
  <c r="M202" i="4"/>
  <c r="P201" i="4"/>
  <c r="M42" i="9"/>
  <c r="L41" i="9"/>
  <c r="H41" i="9"/>
  <c r="K41" i="9" s="1"/>
  <c r="L40" i="9"/>
  <c r="H40" i="9"/>
  <c r="K40" i="9" s="1"/>
  <c r="L39" i="9"/>
  <c r="H39" i="9"/>
  <c r="K39" i="9" s="1"/>
  <c r="L38" i="9"/>
  <c r="H38" i="9"/>
  <c r="Q202" i="1" l="1"/>
  <c r="O203" i="1"/>
  <c r="M203" i="4"/>
  <c r="P202" i="4"/>
  <c r="R200" i="4"/>
  <c r="N201" i="4"/>
  <c r="K38" i="9"/>
  <c r="F183" i="4"/>
  <c r="E183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0" i="4"/>
  <c r="C99" i="4"/>
  <c r="C98" i="4"/>
  <c r="C97" i="4"/>
  <c r="C96" i="4"/>
  <c r="C95" i="4"/>
  <c r="C94" i="4"/>
  <c r="C93" i="4"/>
  <c r="C92" i="4"/>
  <c r="C91" i="4"/>
  <c r="C90" i="4"/>
  <c r="C89" i="4"/>
  <c r="C140" i="1"/>
  <c r="C139" i="1"/>
  <c r="C138" i="1"/>
  <c r="C137" i="1"/>
  <c r="C136" i="1"/>
  <c r="C135" i="1"/>
  <c r="C134" i="1"/>
  <c r="C133" i="1"/>
  <c r="C132" i="1"/>
  <c r="C131" i="1"/>
  <c r="C130" i="1"/>
  <c r="C129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O204" i="1" l="1"/>
  <c r="Q203" i="1"/>
  <c r="N202" i="4"/>
  <c r="R201" i="4"/>
  <c r="M204" i="4"/>
  <c r="P203" i="4"/>
  <c r="F182" i="4"/>
  <c r="E182" i="4"/>
  <c r="Q204" i="1" l="1"/>
  <c r="O205" i="1"/>
  <c r="M205" i="4"/>
  <c r="P204" i="4"/>
  <c r="R202" i="4"/>
  <c r="N203" i="4"/>
  <c r="F181" i="4"/>
  <c r="E181" i="4"/>
  <c r="O206" i="1" l="1"/>
  <c r="Q205" i="1"/>
  <c r="N204" i="4"/>
  <c r="R203" i="4"/>
  <c r="M206" i="4"/>
  <c r="P205" i="4"/>
  <c r="F180" i="4"/>
  <c r="E180" i="4"/>
  <c r="Q206" i="1" l="1"/>
  <c r="O207" i="1"/>
  <c r="M207" i="4"/>
  <c r="P206" i="4"/>
  <c r="R204" i="4"/>
  <c r="N205" i="4"/>
  <c r="F179" i="4"/>
  <c r="E179" i="4"/>
  <c r="O208" i="1" l="1"/>
  <c r="Q208" i="1" s="1"/>
  <c r="Q207" i="1"/>
  <c r="N206" i="4"/>
  <c r="R205" i="4"/>
  <c r="M208" i="4"/>
  <c r="P207" i="4"/>
  <c r="F178" i="4"/>
  <c r="E178" i="4"/>
  <c r="P208" i="4" l="1"/>
  <c r="M210" i="4"/>
  <c r="R206" i="4"/>
  <c r="N207" i="4"/>
  <c r="F177" i="4"/>
  <c r="E177" i="4"/>
  <c r="N208" i="4" l="1"/>
  <c r="R208" i="4" s="1"/>
  <c r="R207" i="4"/>
  <c r="M35" i="9"/>
  <c r="L34" i="9"/>
  <c r="K34" i="9"/>
  <c r="H34" i="9"/>
  <c r="L33" i="9"/>
  <c r="H33" i="9"/>
  <c r="K33" i="9" s="1"/>
  <c r="L32" i="9"/>
  <c r="K32" i="9"/>
  <c r="H32" i="9"/>
  <c r="L31" i="9"/>
  <c r="H31" i="9"/>
  <c r="K31" i="9" s="1"/>
  <c r="M28" i="9"/>
  <c r="I28" i="9"/>
  <c r="H28" i="9"/>
  <c r="K28" i="9" s="1"/>
  <c r="L27" i="9"/>
  <c r="K27" i="9"/>
  <c r="H27" i="9"/>
  <c r="K189" i="1" l="1"/>
  <c r="J189" i="1"/>
  <c r="I189" i="1"/>
  <c r="E189" i="1"/>
  <c r="N187" i="1"/>
  <c r="P187" i="1" s="1"/>
  <c r="L187" i="1"/>
  <c r="G187" i="1"/>
  <c r="M187" i="1" s="1"/>
  <c r="N186" i="1"/>
  <c r="P186" i="1" s="1"/>
  <c r="L186" i="1"/>
  <c r="G186" i="1"/>
  <c r="M186" i="1" s="1"/>
  <c r="N185" i="1"/>
  <c r="P185" i="1" s="1"/>
  <c r="L185" i="1"/>
  <c r="G185" i="1"/>
  <c r="M185" i="1" s="1"/>
  <c r="N184" i="1"/>
  <c r="P184" i="1" s="1"/>
  <c r="L184" i="1"/>
  <c r="G184" i="1"/>
  <c r="M184" i="1" s="1"/>
  <c r="N183" i="1"/>
  <c r="P183" i="1" s="1"/>
  <c r="L183" i="1"/>
  <c r="G183" i="1"/>
  <c r="M183" i="1" s="1"/>
  <c r="N182" i="1"/>
  <c r="P182" i="1" s="1"/>
  <c r="L182" i="1"/>
  <c r="G182" i="1"/>
  <c r="M182" i="1" s="1"/>
  <c r="N181" i="1"/>
  <c r="P181" i="1" s="1"/>
  <c r="L181" i="1"/>
  <c r="G181" i="1"/>
  <c r="M181" i="1" s="1"/>
  <c r="N180" i="1"/>
  <c r="P180" i="1" s="1"/>
  <c r="L180" i="1"/>
  <c r="G180" i="1"/>
  <c r="M180" i="1" s="1"/>
  <c r="N179" i="1"/>
  <c r="P179" i="1" s="1"/>
  <c r="L179" i="1"/>
  <c r="G179" i="1"/>
  <c r="M179" i="1" s="1"/>
  <c r="N178" i="1"/>
  <c r="P178" i="1" s="1"/>
  <c r="L178" i="1"/>
  <c r="G178" i="1"/>
  <c r="M178" i="1" s="1"/>
  <c r="N177" i="1"/>
  <c r="P177" i="1" s="1"/>
  <c r="L177" i="1"/>
  <c r="G177" i="1"/>
  <c r="M177" i="1" s="1"/>
  <c r="L176" i="1"/>
  <c r="L189" i="1" s="1"/>
  <c r="G176" i="1"/>
  <c r="F189" i="1"/>
  <c r="D176" i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J189" i="4"/>
  <c r="H189" i="4"/>
  <c r="G189" i="4"/>
  <c r="B189" i="4"/>
  <c r="O187" i="4"/>
  <c r="I187" i="4"/>
  <c r="O186" i="4"/>
  <c r="O185" i="4"/>
  <c r="I185" i="4"/>
  <c r="O184" i="4"/>
  <c r="O183" i="4"/>
  <c r="I183" i="4"/>
  <c r="O182" i="4"/>
  <c r="O181" i="4"/>
  <c r="I181" i="4"/>
  <c r="O180" i="4"/>
  <c r="O179" i="4"/>
  <c r="I179" i="4"/>
  <c r="O178" i="4"/>
  <c r="O177" i="4"/>
  <c r="I177" i="4"/>
  <c r="F189" i="4"/>
  <c r="O176" i="4"/>
  <c r="D176" i="4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C187" i="4" l="1"/>
  <c r="C185" i="4"/>
  <c r="C183" i="4"/>
  <c r="C181" i="4"/>
  <c r="C179" i="4"/>
  <c r="C177" i="4"/>
  <c r="C186" i="4"/>
  <c r="C184" i="4"/>
  <c r="C182" i="4"/>
  <c r="C180" i="4"/>
  <c r="C178" i="4"/>
  <c r="C176" i="4"/>
  <c r="M176" i="1"/>
  <c r="M189" i="1" s="1"/>
  <c r="N176" i="1"/>
  <c r="B189" i="1"/>
  <c r="G189" i="1"/>
  <c r="L177" i="4"/>
  <c r="Q177" i="4" s="1"/>
  <c r="K177" i="4"/>
  <c r="L181" i="4"/>
  <c r="Q181" i="4" s="1"/>
  <c r="K181" i="4"/>
  <c r="L185" i="4"/>
  <c r="Q185" i="4" s="1"/>
  <c r="K185" i="4"/>
  <c r="L179" i="4"/>
  <c r="Q179" i="4" s="1"/>
  <c r="K179" i="4"/>
  <c r="L183" i="4"/>
  <c r="Q183" i="4" s="1"/>
  <c r="K183" i="4"/>
  <c r="L187" i="4"/>
  <c r="Q187" i="4" s="1"/>
  <c r="K187" i="4"/>
  <c r="I176" i="4"/>
  <c r="I178" i="4"/>
  <c r="I180" i="4"/>
  <c r="I182" i="4"/>
  <c r="I184" i="4"/>
  <c r="I186" i="4"/>
  <c r="E189" i="4"/>
  <c r="M176" i="4"/>
  <c r="F166" i="4"/>
  <c r="E166" i="4"/>
  <c r="C186" i="1" l="1"/>
  <c r="C184" i="1"/>
  <c r="C182" i="1"/>
  <c r="C180" i="1"/>
  <c r="C178" i="1"/>
  <c r="C176" i="1"/>
  <c r="C187" i="1"/>
  <c r="C185" i="1"/>
  <c r="C183" i="1"/>
  <c r="C181" i="1"/>
  <c r="C179" i="1"/>
  <c r="C177" i="1"/>
  <c r="O176" i="1"/>
  <c r="N189" i="1"/>
  <c r="P189" i="1" s="1"/>
  <c r="P176" i="1"/>
  <c r="K184" i="4"/>
  <c r="L184" i="4"/>
  <c r="Q184" i="4" s="1"/>
  <c r="K180" i="4"/>
  <c r="L180" i="4"/>
  <c r="Q180" i="4" s="1"/>
  <c r="K176" i="4"/>
  <c r="L176" i="4"/>
  <c r="I189" i="4"/>
  <c r="P176" i="4"/>
  <c r="M177" i="4"/>
  <c r="K186" i="4"/>
  <c r="L186" i="4"/>
  <c r="Q186" i="4" s="1"/>
  <c r="K182" i="4"/>
  <c r="L182" i="4"/>
  <c r="Q182" i="4" s="1"/>
  <c r="K178" i="4"/>
  <c r="L178" i="4"/>
  <c r="Q178" i="4" s="1"/>
  <c r="F165" i="4"/>
  <c r="E165" i="4"/>
  <c r="C189" i="1" l="1"/>
  <c r="Q176" i="1"/>
  <c r="O177" i="1"/>
  <c r="M178" i="4"/>
  <c r="P177" i="4"/>
  <c r="L189" i="4"/>
  <c r="Q189" i="4" s="1"/>
  <c r="Q176" i="4"/>
  <c r="N176" i="4"/>
  <c r="K189" i="4"/>
  <c r="N120" i="1"/>
  <c r="N119" i="1"/>
  <c r="N118" i="1"/>
  <c r="N117" i="1"/>
  <c r="N116" i="1"/>
  <c r="N115" i="1"/>
  <c r="N114" i="1"/>
  <c r="N113" i="1"/>
  <c r="N112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O178" i="1" l="1"/>
  <c r="Q177" i="1"/>
  <c r="N177" i="4"/>
  <c r="R176" i="4"/>
  <c r="M179" i="4"/>
  <c r="P178" i="4"/>
  <c r="F164" i="4"/>
  <c r="E164" i="4"/>
  <c r="Q178" i="1" l="1"/>
  <c r="O179" i="1"/>
  <c r="M180" i="4"/>
  <c r="P179" i="4"/>
  <c r="R177" i="4"/>
  <c r="N178" i="4"/>
  <c r="F163" i="4"/>
  <c r="E163" i="4"/>
  <c r="O180" i="1" l="1"/>
  <c r="Q179" i="1"/>
  <c r="N179" i="4"/>
  <c r="R178" i="4"/>
  <c r="M181" i="4"/>
  <c r="P180" i="4"/>
  <c r="F162" i="4"/>
  <c r="E162" i="4"/>
  <c r="O181" i="1" l="1"/>
  <c r="Q180" i="1"/>
  <c r="M182" i="4"/>
  <c r="P181" i="4"/>
  <c r="R179" i="4"/>
  <c r="N180" i="4"/>
  <c r="F161" i="4"/>
  <c r="E161" i="4"/>
  <c r="Q181" i="1" l="1"/>
  <c r="O182" i="1"/>
  <c r="N181" i="4"/>
  <c r="R180" i="4"/>
  <c r="M183" i="4"/>
  <c r="P182" i="4"/>
  <c r="F160" i="4"/>
  <c r="E160" i="4"/>
  <c r="O183" i="1" l="1"/>
  <c r="Q182" i="1"/>
  <c r="M184" i="4"/>
  <c r="P183" i="4"/>
  <c r="R181" i="4"/>
  <c r="N182" i="4"/>
  <c r="F159" i="4"/>
  <c r="E159" i="4"/>
  <c r="B159" i="1"/>
  <c r="Q183" i="1" l="1"/>
  <c r="O184" i="1"/>
  <c r="N183" i="4"/>
  <c r="R182" i="4"/>
  <c r="M185" i="4"/>
  <c r="P184" i="4"/>
  <c r="F158" i="4"/>
  <c r="E158" i="4"/>
  <c r="O185" i="1" l="1"/>
  <c r="Q184" i="1"/>
  <c r="M186" i="4"/>
  <c r="P185" i="4"/>
  <c r="R183" i="4"/>
  <c r="N184" i="4"/>
  <c r="F157" i="4"/>
  <c r="E157" i="4"/>
  <c r="Q185" i="1" l="1"/>
  <c r="O186" i="1"/>
  <c r="N185" i="4"/>
  <c r="R184" i="4"/>
  <c r="M187" i="4"/>
  <c r="P186" i="4"/>
  <c r="F156" i="4"/>
  <c r="E156" i="4"/>
  <c r="O187" i="1" l="1"/>
  <c r="Q187" i="1" s="1"/>
  <c r="Q186" i="1"/>
  <c r="P187" i="4"/>
  <c r="M189" i="4"/>
  <c r="R185" i="4"/>
  <c r="N186" i="4"/>
  <c r="F155" i="1"/>
  <c r="F155" i="4"/>
  <c r="E155" i="4"/>
  <c r="J168" i="4"/>
  <c r="H168" i="4"/>
  <c r="G168" i="4"/>
  <c r="B168" i="4"/>
  <c r="O166" i="4"/>
  <c r="I166" i="4"/>
  <c r="L166" i="4" s="1"/>
  <c r="O165" i="4"/>
  <c r="O164" i="4"/>
  <c r="I164" i="4"/>
  <c r="L164" i="4" s="1"/>
  <c r="O163" i="4"/>
  <c r="O162" i="4"/>
  <c r="I162" i="4"/>
  <c r="L162" i="4" s="1"/>
  <c r="O161" i="4"/>
  <c r="O160" i="4"/>
  <c r="I160" i="4"/>
  <c r="L160" i="4" s="1"/>
  <c r="O159" i="4"/>
  <c r="O158" i="4"/>
  <c r="I158" i="4"/>
  <c r="L158" i="4" s="1"/>
  <c r="O157" i="4"/>
  <c r="O156" i="4"/>
  <c r="I156" i="4"/>
  <c r="L156" i="4" s="1"/>
  <c r="F168" i="4"/>
  <c r="O155" i="4"/>
  <c r="D155" i="4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K168" i="1"/>
  <c r="J168" i="1"/>
  <c r="I168" i="1"/>
  <c r="F168" i="1"/>
  <c r="E168" i="1"/>
  <c r="B168" i="1"/>
  <c r="P166" i="1"/>
  <c r="L166" i="1"/>
  <c r="G166" i="1"/>
  <c r="P165" i="1"/>
  <c r="L165" i="1"/>
  <c r="G165" i="1"/>
  <c r="P164" i="1"/>
  <c r="L164" i="1"/>
  <c r="G164" i="1"/>
  <c r="M164" i="1" s="1"/>
  <c r="P163" i="1"/>
  <c r="L163" i="1"/>
  <c r="G163" i="1"/>
  <c r="M163" i="1" s="1"/>
  <c r="P162" i="1"/>
  <c r="L162" i="1"/>
  <c r="G162" i="1"/>
  <c r="M162" i="1" s="1"/>
  <c r="P161" i="1"/>
  <c r="L161" i="1"/>
  <c r="G161" i="1"/>
  <c r="M161" i="1" s="1"/>
  <c r="P160" i="1"/>
  <c r="L160" i="1"/>
  <c r="G160" i="1"/>
  <c r="M160" i="1" s="1"/>
  <c r="P159" i="1"/>
  <c r="L159" i="1"/>
  <c r="G159" i="1"/>
  <c r="M159" i="1" s="1"/>
  <c r="P158" i="1"/>
  <c r="L158" i="1"/>
  <c r="G158" i="1"/>
  <c r="M158" i="1" s="1"/>
  <c r="P157" i="1"/>
  <c r="L157" i="1"/>
  <c r="G157" i="1"/>
  <c r="M157" i="1" s="1"/>
  <c r="P156" i="1"/>
  <c r="L156" i="1"/>
  <c r="G156" i="1"/>
  <c r="M156" i="1" s="1"/>
  <c r="P155" i="1"/>
  <c r="L155" i="1"/>
  <c r="L168" i="1" s="1"/>
  <c r="G155" i="1"/>
  <c r="G168" i="1" s="1"/>
  <c r="D155" i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C168" i="1"/>
  <c r="N187" i="4" l="1"/>
  <c r="R187" i="4" s="1"/>
  <c r="R186" i="4"/>
  <c r="M166" i="1"/>
  <c r="M165" i="1"/>
  <c r="Q156" i="4"/>
  <c r="K156" i="4"/>
  <c r="Q160" i="4"/>
  <c r="K160" i="4"/>
  <c r="Q164" i="4"/>
  <c r="K164" i="4"/>
  <c r="Q158" i="4"/>
  <c r="K158" i="4"/>
  <c r="Q162" i="4"/>
  <c r="K162" i="4"/>
  <c r="Q166" i="4"/>
  <c r="K166" i="4"/>
  <c r="I155" i="4"/>
  <c r="L155" i="4" s="1"/>
  <c r="I157" i="4"/>
  <c r="L157" i="4" s="1"/>
  <c r="I159" i="4"/>
  <c r="L159" i="4" s="1"/>
  <c r="I161" i="4"/>
  <c r="L161" i="4" s="1"/>
  <c r="I163" i="4"/>
  <c r="L163" i="4" s="1"/>
  <c r="I165" i="4"/>
  <c r="L165" i="4" s="1"/>
  <c r="E168" i="4"/>
  <c r="M155" i="4"/>
  <c r="M155" i="1"/>
  <c r="M168" i="1" s="1"/>
  <c r="O155" i="1"/>
  <c r="N168" i="1"/>
  <c r="P168" i="1" s="1"/>
  <c r="F140" i="4"/>
  <c r="E140" i="4"/>
  <c r="K163" i="4" l="1"/>
  <c r="Q163" i="4"/>
  <c r="K155" i="4"/>
  <c r="I168" i="4"/>
  <c r="P155" i="4"/>
  <c r="M156" i="4"/>
  <c r="K165" i="4"/>
  <c r="Q165" i="4"/>
  <c r="K161" i="4"/>
  <c r="Q161" i="4"/>
  <c r="K157" i="4"/>
  <c r="Q157" i="4"/>
  <c r="K159" i="4"/>
  <c r="Q159" i="4"/>
  <c r="O156" i="1"/>
  <c r="Q155" i="1"/>
  <c r="E139" i="4"/>
  <c r="F139" i="4"/>
  <c r="M157" i="4" l="1"/>
  <c r="P156" i="4"/>
  <c r="L168" i="4"/>
  <c r="Q168" i="4" s="1"/>
  <c r="Q155" i="4"/>
  <c r="N155" i="4"/>
  <c r="K168" i="4"/>
  <c r="Q156" i="1"/>
  <c r="O157" i="1"/>
  <c r="M21" i="9"/>
  <c r="M14" i="9"/>
  <c r="M7" i="9"/>
  <c r="F138" i="4"/>
  <c r="E138" i="4"/>
  <c r="H24" i="9"/>
  <c r="H25" i="9"/>
  <c r="H26" i="9"/>
  <c r="I21" i="9"/>
  <c r="H17" i="9"/>
  <c r="H18" i="9"/>
  <c r="H19" i="9"/>
  <c r="H20" i="9"/>
  <c r="H21" i="9"/>
  <c r="K21" i="9" s="1"/>
  <c r="I14" i="9"/>
  <c r="H10" i="9"/>
  <c r="H11" i="9"/>
  <c r="H14" i="9" s="1"/>
  <c r="K14" i="9" s="1"/>
  <c r="H12" i="9"/>
  <c r="H13" i="9"/>
  <c r="I7" i="9"/>
  <c r="H3" i="9"/>
  <c r="H4" i="9"/>
  <c r="H5" i="9"/>
  <c r="H6" i="9"/>
  <c r="H7" i="9"/>
  <c r="K7" i="9" s="1"/>
  <c r="L26" i="9"/>
  <c r="K26" i="9"/>
  <c r="L25" i="9"/>
  <c r="K25" i="9"/>
  <c r="L24" i="9"/>
  <c r="K24" i="9"/>
  <c r="L20" i="9"/>
  <c r="K20" i="9"/>
  <c r="L19" i="9"/>
  <c r="K19" i="9"/>
  <c r="L18" i="9"/>
  <c r="K18" i="9"/>
  <c r="L17" i="9"/>
  <c r="K17" i="9"/>
  <c r="L13" i="9"/>
  <c r="K13" i="9"/>
  <c r="L12" i="9"/>
  <c r="K12" i="9"/>
  <c r="L11" i="9"/>
  <c r="K11" i="9"/>
  <c r="L10" i="9"/>
  <c r="K10" i="9"/>
  <c r="L6" i="9"/>
  <c r="K6" i="9"/>
  <c r="L3" i="9"/>
  <c r="K3" i="9"/>
  <c r="L4" i="9"/>
  <c r="K4" i="9"/>
  <c r="L5" i="9"/>
  <c r="K5" i="9"/>
  <c r="F137" i="4"/>
  <c r="E137" i="4"/>
  <c r="F136" i="4"/>
  <c r="E136" i="4"/>
  <c r="F135" i="4"/>
  <c r="E135" i="4"/>
  <c r="F134" i="4"/>
  <c r="E134" i="4"/>
  <c r="F133" i="4"/>
  <c r="E133" i="4"/>
  <c r="F132" i="4"/>
  <c r="E132" i="4"/>
  <c r="B149" i="4"/>
  <c r="B148" i="4"/>
  <c r="F131" i="4"/>
  <c r="E131" i="4"/>
  <c r="B145" i="4"/>
  <c r="B144" i="4"/>
  <c r="B144" i="1"/>
  <c r="B145" i="1"/>
  <c r="B146" i="1" s="1"/>
  <c r="F130" i="4"/>
  <c r="E130" i="4"/>
  <c r="F129" i="4"/>
  <c r="E129" i="4"/>
  <c r="Q62" i="2"/>
  <c r="P62" i="2"/>
  <c r="O62" i="2"/>
  <c r="N62" i="2"/>
  <c r="M62" i="2"/>
  <c r="L62" i="2"/>
  <c r="K62" i="2"/>
  <c r="I62" i="2"/>
  <c r="H62" i="2"/>
  <c r="G62" i="2"/>
  <c r="F62" i="2"/>
  <c r="E62" i="2"/>
  <c r="D62" i="2"/>
  <c r="C62" i="2"/>
  <c r="D89" i="4"/>
  <c r="D90" i="4" s="1"/>
  <c r="N61" i="2"/>
  <c r="J61" i="2"/>
  <c r="F61" i="2"/>
  <c r="E61" i="2"/>
  <c r="D61" i="2"/>
  <c r="C61" i="2"/>
  <c r="B61" i="2"/>
  <c r="E60" i="2"/>
  <c r="D60" i="2"/>
  <c r="C60" i="2"/>
  <c r="B60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I129" i="4"/>
  <c r="L129" i="4" s="1"/>
  <c r="I130" i="4"/>
  <c r="L130" i="4" s="1"/>
  <c r="I131" i="4"/>
  <c r="L131" i="4" s="1"/>
  <c r="I132" i="4"/>
  <c r="L132" i="4" s="1"/>
  <c r="I133" i="4"/>
  <c r="L133" i="4" s="1"/>
  <c r="I134" i="4"/>
  <c r="L134" i="4" s="1"/>
  <c r="I135" i="4"/>
  <c r="L135" i="4" s="1"/>
  <c r="I136" i="4"/>
  <c r="L136" i="4" s="1"/>
  <c r="I137" i="4"/>
  <c r="L137" i="4" s="1"/>
  <c r="I138" i="4"/>
  <c r="L138" i="4" s="1"/>
  <c r="I139" i="4"/>
  <c r="I140" i="4"/>
  <c r="B142" i="4"/>
  <c r="M129" i="4"/>
  <c r="M130" i="4" s="1"/>
  <c r="K129" i="4"/>
  <c r="K130" i="4"/>
  <c r="K131" i="4"/>
  <c r="K132" i="4"/>
  <c r="K133" i="4"/>
  <c r="K134" i="4"/>
  <c r="K135" i="4"/>
  <c r="K136" i="4"/>
  <c r="K137" i="4"/>
  <c r="K138" i="4"/>
  <c r="J142" i="4"/>
  <c r="I142" i="4"/>
  <c r="H142" i="4"/>
  <c r="G142" i="4"/>
  <c r="F142" i="4"/>
  <c r="E142" i="4"/>
  <c r="N129" i="4"/>
  <c r="N130" i="4" s="1"/>
  <c r="N131" i="4" s="1"/>
  <c r="D129" i="4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O140" i="4"/>
  <c r="O139" i="4"/>
  <c r="Q138" i="4"/>
  <c r="O138" i="4"/>
  <c r="Q137" i="4"/>
  <c r="O137" i="4"/>
  <c r="Q136" i="4"/>
  <c r="O136" i="4"/>
  <c r="Q135" i="4"/>
  <c r="O135" i="4"/>
  <c r="Q134" i="4"/>
  <c r="O134" i="4"/>
  <c r="Q133" i="4"/>
  <c r="O133" i="4"/>
  <c r="Q132" i="4"/>
  <c r="O132" i="4"/>
  <c r="Q131" i="4"/>
  <c r="O131" i="4"/>
  <c r="Q130" i="4"/>
  <c r="O130" i="4"/>
  <c r="R129" i="4"/>
  <c r="Q129" i="4"/>
  <c r="P129" i="4"/>
  <c r="O129" i="4"/>
  <c r="B142" i="1"/>
  <c r="G129" i="1"/>
  <c r="L129" i="1"/>
  <c r="M129" i="1"/>
  <c r="G130" i="1"/>
  <c r="L130" i="1"/>
  <c r="G131" i="1"/>
  <c r="L131" i="1"/>
  <c r="M131" i="1" s="1"/>
  <c r="G132" i="1"/>
  <c r="L132" i="1"/>
  <c r="G133" i="1"/>
  <c r="L133" i="1"/>
  <c r="M133" i="1"/>
  <c r="G134" i="1"/>
  <c r="L134" i="1"/>
  <c r="M134" i="1" s="1"/>
  <c r="G135" i="1"/>
  <c r="L135" i="1"/>
  <c r="M135" i="1" s="1"/>
  <c r="G136" i="1"/>
  <c r="L136" i="1"/>
  <c r="G137" i="1"/>
  <c r="L137" i="1"/>
  <c r="M137" i="1"/>
  <c r="G138" i="1"/>
  <c r="L138" i="1"/>
  <c r="M138" i="1" s="1"/>
  <c r="G139" i="1"/>
  <c r="L139" i="1"/>
  <c r="M139" i="1" s="1"/>
  <c r="G140" i="1"/>
  <c r="L140" i="1"/>
  <c r="K142" i="1"/>
  <c r="J142" i="1"/>
  <c r="I142" i="1"/>
  <c r="F142" i="1"/>
  <c r="E142" i="1"/>
  <c r="O129" i="1"/>
  <c r="O130" i="1" s="1"/>
  <c r="D129" i="1"/>
  <c r="D130" i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P140" i="1"/>
  <c r="P139" i="1"/>
  <c r="P138" i="1"/>
  <c r="P137" i="1"/>
  <c r="P136" i="1"/>
  <c r="P135" i="1"/>
  <c r="P134" i="1"/>
  <c r="P133" i="1"/>
  <c r="P132" i="1"/>
  <c r="P131" i="1"/>
  <c r="P130" i="1"/>
  <c r="P129" i="1"/>
  <c r="J120" i="1"/>
  <c r="F120" i="4"/>
  <c r="E120" i="4"/>
  <c r="F119" i="4"/>
  <c r="E119" i="4"/>
  <c r="F118" i="4"/>
  <c r="E118" i="4"/>
  <c r="F117" i="4"/>
  <c r="E117" i="4"/>
  <c r="F116" i="4"/>
  <c r="E116" i="4"/>
  <c r="F115" i="4"/>
  <c r="E115" i="4"/>
  <c r="B62" i="8"/>
  <c r="B41" i="8"/>
  <c r="B20" i="8"/>
  <c r="N30" i="7"/>
  <c r="N24" i="7"/>
  <c r="N22" i="7"/>
  <c r="N15" i="7"/>
  <c r="N9" i="7"/>
  <c r="N7" i="7"/>
  <c r="K12" i="3"/>
  <c r="K16" i="3" s="1"/>
  <c r="B12" i="3"/>
  <c r="B16" i="3" s="1"/>
  <c r="B21" i="3" s="1"/>
  <c r="L12" i="3"/>
  <c r="B16" i="6" s="1"/>
  <c r="I12" i="3"/>
  <c r="I16" i="3" s="1"/>
  <c r="J12" i="3"/>
  <c r="B15" i="6" s="1"/>
  <c r="G12" i="3"/>
  <c r="G16" i="3" s="1"/>
  <c r="H12" i="3"/>
  <c r="B14" i="6" s="1"/>
  <c r="E12" i="3"/>
  <c r="E16" i="3" s="1"/>
  <c r="F12" i="3"/>
  <c r="B13" i="6" s="1"/>
  <c r="C12" i="3"/>
  <c r="C16" i="3" s="1"/>
  <c r="D12" i="3"/>
  <c r="B12" i="6" s="1"/>
  <c r="B18" i="6" s="1"/>
  <c r="M54" i="3"/>
  <c r="M58" i="3" s="1"/>
  <c r="M63" i="3" s="1"/>
  <c r="K54" i="3"/>
  <c r="K58" i="3" s="1"/>
  <c r="B54" i="3"/>
  <c r="B58" i="3" s="1"/>
  <c r="B63" i="3" s="1"/>
  <c r="L54" i="3"/>
  <c r="D16" i="6" s="1"/>
  <c r="I54" i="3"/>
  <c r="I58" i="3" s="1"/>
  <c r="J54" i="3"/>
  <c r="D15" i="6" s="1"/>
  <c r="G54" i="3"/>
  <c r="G58" i="3" s="1"/>
  <c r="H54" i="3"/>
  <c r="D14" i="6" s="1"/>
  <c r="E54" i="3"/>
  <c r="E58" i="3" s="1"/>
  <c r="F54" i="3"/>
  <c r="D13" i="6" s="1"/>
  <c r="C54" i="3"/>
  <c r="C58" i="3" s="1"/>
  <c r="D54" i="3"/>
  <c r="D12" i="6" s="1"/>
  <c r="L40" i="3"/>
  <c r="L39" i="3"/>
  <c r="L38" i="3"/>
  <c r="L36" i="3"/>
  <c r="L35" i="3"/>
  <c r="L34" i="3"/>
  <c r="L32" i="3"/>
  <c r="L31" i="3"/>
  <c r="L30" i="3"/>
  <c r="L29" i="3"/>
  <c r="L28" i="3"/>
  <c r="J40" i="3"/>
  <c r="J39" i="3"/>
  <c r="J38" i="3"/>
  <c r="J36" i="3"/>
  <c r="J35" i="3"/>
  <c r="J34" i="3"/>
  <c r="J32" i="3"/>
  <c r="J31" i="3"/>
  <c r="J30" i="3"/>
  <c r="J29" i="3"/>
  <c r="J28" i="3"/>
  <c r="H40" i="3"/>
  <c r="H39" i="3"/>
  <c r="H38" i="3"/>
  <c r="H36" i="3"/>
  <c r="H35" i="3"/>
  <c r="H34" i="3"/>
  <c r="H32" i="3"/>
  <c r="H31" i="3"/>
  <c r="H30" i="3"/>
  <c r="H29" i="3"/>
  <c r="H28" i="3"/>
  <c r="F40" i="3"/>
  <c r="F39" i="3"/>
  <c r="F38" i="3"/>
  <c r="F36" i="3"/>
  <c r="F35" i="3"/>
  <c r="F34" i="3"/>
  <c r="F32" i="3"/>
  <c r="F31" i="3"/>
  <c r="F30" i="3"/>
  <c r="F29" i="3"/>
  <c r="F28" i="3"/>
  <c r="D40" i="3"/>
  <c r="D39" i="3"/>
  <c r="D38" i="3"/>
  <c r="D36" i="3"/>
  <c r="D35" i="3"/>
  <c r="D34" i="3"/>
  <c r="D32" i="3"/>
  <c r="D31" i="3"/>
  <c r="D30" i="3"/>
  <c r="D29" i="3"/>
  <c r="D28" i="3"/>
  <c r="K37" i="3"/>
  <c r="K42" i="3" s="1"/>
  <c r="G37" i="3"/>
  <c r="G42" i="3" s="1"/>
  <c r="M33" i="3"/>
  <c r="C21" i="6" s="1"/>
  <c r="K33" i="3"/>
  <c r="L33" i="3" s="1"/>
  <c r="C16" i="6" s="1"/>
  <c r="I33" i="3"/>
  <c r="J33" i="3" s="1"/>
  <c r="C15" i="6" s="1"/>
  <c r="G33" i="3"/>
  <c r="H33" i="3" s="1"/>
  <c r="C14" i="6" s="1"/>
  <c r="E33" i="3"/>
  <c r="F33" i="3" s="1"/>
  <c r="C13" i="6" s="1"/>
  <c r="C37" i="3"/>
  <c r="C42" i="3" s="1"/>
  <c r="C33" i="3"/>
  <c r="D33" i="3" s="1"/>
  <c r="C12" i="6" s="1"/>
  <c r="C18" i="6" s="1"/>
  <c r="B33" i="3"/>
  <c r="B37" i="3" s="1"/>
  <c r="B42" i="3" s="1"/>
  <c r="N51" i="3"/>
  <c r="N54" i="3" s="1"/>
  <c r="O48" i="3"/>
  <c r="O54" i="3" s="1"/>
  <c r="O49" i="3"/>
  <c r="O50" i="3"/>
  <c r="O51" i="3"/>
  <c r="O52" i="3"/>
  <c r="O53" i="3"/>
  <c r="O55" i="3"/>
  <c r="O56" i="3"/>
  <c r="O57" i="3"/>
  <c r="O59" i="3"/>
  <c r="O60" i="3"/>
  <c r="O61" i="3"/>
  <c r="L61" i="3"/>
  <c r="J61" i="3"/>
  <c r="H61" i="3"/>
  <c r="F61" i="3"/>
  <c r="D61" i="3"/>
  <c r="L60" i="3"/>
  <c r="J60" i="3"/>
  <c r="H60" i="3"/>
  <c r="F60" i="3"/>
  <c r="D60" i="3"/>
  <c r="L59" i="3"/>
  <c r="J59" i="3"/>
  <c r="H59" i="3"/>
  <c r="F59" i="3"/>
  <c r="D59" i="3"/>
  <c r="L57" i="3"/>
  <c r="J57" i="3"/>
  <c r="H57" i="3"/>
  <c r="F57" i="3"/>
  <c r="D57" i="3"/>
  <c r="L56" i="3"/>
  <c r="J56" i="3"/>
  <c r="H56" i="3"/>
  <c r="F56" i="3"/>
  <c r="D56" i="3"/>
  <c r="L55" i="3"/>
  <c r="J55" i="3"/>
  <c r="H55" i="3"/>
  <c r="F55" i="3"/>
  <c r="D55" i="3"/>
  <c r="L53" i="3"/>
  <c r="J53" i="3"/>
  <c r="H53" i="3"/>
  <c r="F53" i="3"/>
  <c r="D53" i="3"/>
  <c r="L52" i="3"/>
  <c r="J52" i="3"/>
  <c r="H52" i="3"/>
  <c r="F52" i="3"/>
  <c r="D52" i="3"/>
  <c r="L51" i="3"/>
  <c r="J51" i="3"/>
  <c r="H51" i="3"/>
  <c r="F51" i="3"/>
  <c r="D51" i="3"/>
  <c r="L50" i="3"/>
  <c r="J50" i="3"/>
  <c r="H50" i="3"/>
  <c r="F50" i="3"/>
  <c r="D50" i="3"/>
  <c r="L49" i="3"/>
  <c r="J49" i="3"/>
  <c r="H49" i="3"/>
  <c r="F49" i="3"/>
  <c r="D49" i="3"/>
  <c r="L48" i="3"/>
  <c r="J48" i="3"/>
  <c r="H48" i="3"/>
  <c r="F48" i="3"/>
  <c r="D48" i="3"/>
  <c r="N29" i="3"/>
  <c r="N33" i="3" s="1"/>
  <c r="O27" i="3"/>
  <c r="O28" i="3"/>
  <c r="O30" i="3"/>
  <c r="O31" i="3"/>
  <c r="O32" i="3"/>
  <c r="O34" i="3"/>
  <c r="O35" i="3"/>
  <c r="O36" i="3"/>
  <c r="O38" i="3"/>
  <c r="O39" i="3"/>
  <c r="O40" i="3"/>
  <c r="L27" i="3"/>
  <c r="J27" i="3"/>
  <c r="H27" i="3"/>
  <c r="F27" i="3"/>
  <c r="D27" i="3"/>
  <c r="O19" i="3"/>
  <c r="N18" i="3"/>
  <c r="O18" i="3" s="1"/>
  <c r="N14" i="3"/>
  <c r="M14" i="3"/>
  <c r="N10" i="3"/>
  <c r="M10" i="3"/>
  <c r="M12" i="3" s="1"/>
  <c r="N7" i="3"/>
  <c r="N12" i="3" s="1"/>
  <c r="L19" i="3"/>
  <c r="J19" i="3"/>
  <c r="H19" i="3"/>
  <c r="F19" i="3"/>
  <c r="D19" i="3"/>
  <c r="L18" i="3"/>
  <c r="J18" i="3"/>
  <c r="H18" i="3"/>
  <c r="F18" i="3"/>
  <c r="D18" i="3"/>
  <c r="O17" i="3"/>
  <c r="L17" i="3"/>
  <c r="J17" i="3"/>
  <c r="H17" i="3"/>
  <c r="F17" i="3"/>
  <c r="D17" i="3"/>
  <c r="O15" i="3"/>
  <c r="L15" i="3"/>
  <c r="J15" i="3"/>
  <c r="H15" i="3"/>
  <c r="F15" i="3"/>
  <c r="D15" i="3"/>
  <c r="O14" i="3"/>
  <c r="L14" i="3"/>
  <c r="J14" i="3"/>
  <c r="H14" i="3"/>
  <c r="F14" i="3"/>
  <c r="D14" i="3"/>
  <c r="O13" i="3"/>
  <c r="L13" i="3"/>
  <c r="J13" i="3"/>
  <c r="H13" i="3"/>
  <c r="F13" i="3"/>
  <c r="D13" i="3"/>
  <c r="O11" i="3"/>
  <c r="L11" i="3"/>
  <c r="J11" i="3"/>
  <c r="H11" i="3"/>
  <c r="F11" i="3"/>
  <c r="D11" i="3"/>
  <c r="O10" i="3"/>
  <c r="L10" i="3"/>
  <c r="J10" i="3"/>
  <c r="H10" i="3"/>
  <c r="F10" i="3"/>
  <c r="D10" i="3"/>
  <c r="O9" i="3"/>
  <c r="L9" i="3"/>
  <c r="J9" i="3"/>
  <c r="H9" i="3"/>
  <c r="F9" i="3"/>
  <c r="D9" i="3"/>
  <c r="O8" i="3"/>
  <c r="L8" i="3"/>
  <c r="J8" i="3"/>
  <c r="H8" i="3"/>
  <c r="F8" i="3"/>
  <c r="D8" i="3"/>
  <c r="O7" i="3"/>
  <c r="L7" i="3"/>
  <c r="J7" i="3"/>
  <c r="H7" i="3"/>
  <c r="F7" i="3"/>
  <c r="D7" i="3"/>
  <c r="L6" i="3"/>
  <c r="J6" i="3"/>
  <c r="H6" i="3"/>
  <c r="F6" i="3"/>
  <c r="D6" i="3"/>
  <c r="O6" i="3"/>
  <c r="O12" i="3" s="1"/>
  <c r="O16" i="3" s="1"/>
  <c r="O21" i="3" s="1"/>
  <c r="F114" i="4"/>
  <c r="E114" i="4"/>
  <c r="I114" i="4" s="1"/>
  <c r="L114" i="4" s="1"/>
  <c r="F113" i="4"/>
  <c r="E113" i="4"/>
  <c r="J113" i="1"/>
  <c r="F112" i="1"/>
  <c r="J112" i="4"/>
  <c r="F112" i="4"/>
  <c r="I112" i="4" s="1"/>
  <c r="L112" i="4" s="1"/>
  <c r="E112" i="4"/>
  <c r="F111" i="4"/>
  <c r="E111" i="4"/>
  <c r="F110" i="4"/>
  <c r="I110" i="4" s="1"/>
  <c r="E110" i="4"/>
  <c r="F109" i="4"/>
  <c r="E109" i="4"/>
  <c r="I120" i="4"/>
  <c r="L120" i="4" s="1"/>
  <c r="Q120" i="4" s="1"/>
  <c r="I119" i="4"/>
  <c r="I118" i="4"/>
  <c r="L118" i="4" s="1"/>
  <c r="Q118" i="4" s="1"/>
  <c r="I117" i="4"/>
  <c r="I116" i="4"/>
  <c r="L116" i="4" s="1"/>
  <c r="Q116" i="4" s="1"/>
  <c r="I115" i="4"/>
  <c r="I113" i="4"/>
  <c r="I111" i="4"/>
  <c r="L111" i="4" s="1"/>
  <c r="Q111" i="4" s="1"/>
  <c r="I109" i="4"/>
  <c r="L109" i="4" s="1"/>
  <c r="O120" i="4"/>
  <c r="O119" i="4"/>
  <c r="O118" i="4"/>
  <c r="O117" i="4"/>
  <c r="O116" i="4"/>
  <c r="O115" i="4"/>
  <c r="O114" i="4"/>
  <c r="O113" i="4"/>
  <c r="O112" i="4"/>
  <c r="O111" i="4"/>
  <c r="O110" i="4"/>
  <c r="O109" i="4"/>
  <c r="B122" i="4"/>
  <c r="M109" i="4"/>
  <c r="M110" i="4" s="1"/>
  <c r="K113" i="4"/>
  <c r="K115" i="4"/>
  <c r="K116" i="4"/>
  <c r="K117" i="4"/>
  <c r="K118" i="4"/>
  <c r="K119" i="4"/>
  <c r="K120" i="4"/>
  <c r="J122" i="4"/>
  <c r="H122" i="4"/>
  <c r="G122" i="4"/>
  <c r="F122" i="4"/>
  <c r="E122" i="4"/>
  <c r="B82" i="4"/>
  <c r="D109" i="4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P109" i="4"/>
  <c r="P120" i="1"/>
  <c r="P119" i="1"/>
  <c r="P118" i="1"/>
  <c r="P117" i="1"/>
  <c r="P116" i="1"/>
  <c r="P115" i="1"/>
  <c r="P114" i="1"/>
  <c r="P113" i="1"/>
  <c r="P112" i="1"/>
  <c r="N111" i="1"/>
  <c r="P111" i="1" s="1"/>
  <c r="N110" i="1"/>
  <c r="P110" i="1" s="1"/>
  <c r="N109" i="1"/>
  <c r="P109" i="1"/>
  <c r="N122" i="1"/>
  <c r="B122" i="1"/>
  <c r="G109" i="1"/>
  <c r="L109" i="1"/>
  <c r="M109" i="1"/>
  <c r="G110" i="1"/>
  <c r="L110" i="1"/>
  <c r="M110" i="1" s="1"/>
  <c r="G111" i="1"/>
  <c r="L111" i="1"/>
  <c r="M111" i="1" s="1"/>
  <c r="G112" i="1"/>
  <c r="L112" i="1"/>
  <c r="G113" i="1"/>
  <c r="L113" i="1"/>
  <c r="M113" i="1"/>
  <c r="G114" i="1"/>
  <c r="L114" i="1"/>
  <c r="M114" i="1" s="1"/>
  <c r="G115" i="1"/>
  <c r="L115" i="1"/>
  <c r="M115" i="1" s="1"/>
  <c r="G116" i="1"/>
  <c r="L116" i="1"/>
  <c r="G117" i="1"/>
  <c r="L117" i="1"/>
  <c r="M117" i="1"/>
  <c r="G118" i="1"/>
  <c r="L118" i="1"/>
  <c r="M118" i="1" s="1"/>
  <c r="G119" i="1"/>
  <c r="L119" i="1"/>
  <c r="M119" i="1" s="1"/>
  <c r="G120" i="1"/>
  <c r="L120" i="1"/>
  <c r="K122" i="1"/>
  <c r="J122" i="1"/>
  <c r="I122" i="1"/>
  <c r="F122" i="1"/>
  <c r="E122" i="1"/>
  <c r="O109" i="1"/>
  <c r="O110" i="1"/>
  <c r="O111" i="1" s="1"/>
  <c r="D109" i="1"/>
  <c r="D110" i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Q109" i="1"/>
  <c r="F100" i="4"/>
  <c r="E100" i="4"/>
  <c r="E99" i="4"/>
  <c r="F99" i="4"/>
  <c r="F98" i="4"/>
  <c r="E98" i="4"/>
  <c r="F97" i="4"/>
  <c r="E97" i="4"/>
  <c r="F96" i="4"/>
  <c r="E96" i="4"/>
  <c r="I96" i="4" s="1"/>
  <c r="F95" i="4"/>
  <c r="E95" i="4"/>
  <c r="D69" i="4"/>
  <c r="D70" i="4"/>
  <c r="F94" i="4"/>
  <c r="E94" i="4"/>
  <c r="I94" i="4" s="1"/>
  <c r="F93" i="4"/>
  <c r="E93" i="4"/>
  <c r="E92" i="4"/>
  <c r="F92" i="4"/>
  <c r="I92" i="4" s="1"/>
  <c r="J91" i="4"/>
  <c r="F91" i="4"/>
  <c r="E91" i="4"/>
  <c r="E90" i="4"/>
  <c r="I90" i="4" s="1"/>
  <c r="F90" i="4"/>
  <c r="F89" i="4"/>
  <c r="E89" i="4"/>
  <c r="I89" i="4"/>
  <c r="L89" i="4" s="1"/>
  <c r="I91" i="4"/>
  <c r="L91" i="4" s="1"/>
  <c r="I93" i="4"/>
  <c r="L93" i="4" s="1"/>
  <c r="I95" i="4"/>
  <c r="L95" i="4" s="1"/>
  <c r="I97" i="4"/>
  <c r="L97" i="4" s="1"/>
  <c r="Q97" i="4" s="1"/>
  <c r="M58" i="2" s="1"/>
  <c r="I98" i="4"/>
  <c r="L98" i="4" s="1"/>
  <c r="Q98" i="4" s="1"/>
  <c r="M59" i="2" s="1"/>
  <c r="I99" i="4"/>
  <c r="L99" i="4" s="1"/>
  <c r="Q99" i="4" s="1"/>
  <c r="M60" i="2" s="1"/>
  <c r="I100" i="4"/>
  <c r="L100" i="4" s="1"/>
  <c r="Q100" i="4" s="1"/>
  <c r="M61" i="2" s="1"/>
  <c r="B102" i="4"/>
  <c r="M89" i="4"/>
  <c r="K89" i="4"/>
  <c r="K91" i="4"/>
  <c r="K93" i="4"/>
  <c r="K95" i="4"/>
  <c r="K97" i="4"/>
  <c r="K99" i="4"/>
  <c r="J102" i="4"/>
  <c r="H102" i="4"/>
  <c r="G102" i="4"/>
  <c r="F102" i="4"/>
  <c r="E102" i="4"/>
  <c r="C102" i="4"/>
  <c r="N89" i="4"/>
  <c r="O100" i="4"/>
  <c r="O99" i="4"/>
  <c r="O98" i="4"/>
  <c r="O97" i="4"/>
  <c r="O96" i="4"/>
  <c r="Q95" i="4"/>
  <c r="M56" i="2" s="1"/>
  <c r="O95" i="4"/>
  <c r="O94" i="4"/>
  <c r="Q93" i="4"/>
  <c r="M54" i="2" s="1"/>
  <c r="O93" i="4"/>
  <c r="O92" i="4"/>
  <c r="Q91" i="4"/>
  <c r="M52" i="2" s="1"/>
  <c r="O91" i="4"/>
  <c r="O90" i="4"/>
  <c r="R89" i="4"/>
  <c r="Q89" i="4"/>
  <c r="P89" i="4"/>
  <c r="O89" i="4"/>
  <c r="B102" i="1"/>
  <c r="C100" i="1" s="1"/>
  <c r="C99" i="1"/>
  <c r="C97" i="1"/>
  <c r="C95" i="1"/>
  <c r="C93" i="1"/>
  <c r="C91" i="1"/>
  <c r="C89" i="1"/>
  <c r="N89" i="1"/>
  <c r="N90" i="1"/>
  <c r="N91" i="1"/>
  <c r="N92" i="1"/>
  <c r="N93" i="1"/>
  <c r="N94" i="1"/>
  <c r="N95" i="1"/>
  <c r="N96" i="1"/>
  <c r="N97" i="1"/>
  <c r="N98" i="1"/>
  <c r="N99" i="1"/>
  <c r="N100" i="1"/>
  <c r="G89" i="1"/>
  <c r="L89" i="1"/>
  <c r="M89" i="1" s="1"/>
  <c r="G90" i="1"/>
  <c r="L90" i="1"/>
  <c r="M90" i="1" s="1"/>
  <c r="G91" i="1"/>
  <c r="G102" i="1" s="1"/>
  <c r="L91" i="1"/>
  <c r="G92" i="1"/>
  <c r="L92" i="1"/>
  <c r="M92" i="1"/>
  <c r="G93" i="1"/>
  <c r="L93" i="1"/>
  <c r="M93" i="1" s="1"/>
  <c r="G94" i="1"/>
  <c r="L94" i="1"/>
  <c r="M94" i="1" s="1"/>
  <c r="G95" i="1"/>
  <c r="L95" i="1"/>
  <c r="G96" i="1"/>
  <c r="L96" i="1"/>
  <c r="M96" i="1"/>
  <c r="G97" i="1"/>
  <c r="L97" i="1"/>
  <c r="M97" i="1" s="1"/>
  <c r="G98" i="1"/>
  <c r="L98" i="1"/>
  <c r="M98" i="1" s="1"/>
  <c r="G99" i="1"/>
  <c r="L99" i="1"/>
  <c r="G100" i="1"/>
  <c r="L100" i="1"/>
  <c r="M100" i="1"/>
  <c r="K102" i="1"/>
  <c r="J102" i="1"/>
  <c r="I102" i="1"/>
  <c r="F102" i="1"/>
  <c r="E102" i="1"/>
  <c r="O89" i="1"/>
  <c r="O90" i="1" s="1"/>
  <c r="D89" i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P100" i="1"/>
  <c r="P99" i="1"/>
  <c r="P98" i="1"/>
  <c r="P97" i="1"/>
  <c r="P96" i="1"/>
  <c r="P95" i="1"/>
  <c r="P94" i="1"/>
  <c r="P93" i="1"/>
  <c r="P92" i="1"/>
  <c r="P91" i="1"/>
  <c r="P90" i="1"/>
  <c r="Q89" i="1"/>
  <c r="P89" i="1"/>
  <c r="E80" i="4"/>
  <c r="F80" i="4"/>
  <c r="I80" i="4" s="1"/>
  <c r="H70" i="4"/>
  <c r="H82" i="4" s="1"/>
  <c r="H73" i="4"/>
  <c r="H76" i="4"/>
  <c r="G82" i="4"/>
  <c r="F69" i="4"/>
  <c r="F70" i="4"/>
  <c r="F71" i="4"/>
  <c r="F72" i="4"/>
  <c r="F73" i="4"/>
  <c r="F74" i="4"/>
  <c r="F75" i="4"/>
  <c r="F76" i="4"/>
  <c r="F77" i="4"/>
  <c r="F78" i="4"/>
  <c r="F79" i="4"/>
  <c r="E69" i="4"/>
  <c r="E70" i="4"/>
  <c r="E71" i="4"/>
  <c r="I71" i="4" s="1"/>
  <c r="E72" i="4"/>
  <c r="E73" i="4"/>
  <c r="I73" i="4" s="1"/>
  <c r="E74" i="4"/>
  <c r="E75" i="4"/>
  <c r="I75" i="4" s="1"/>
  <c r="E76" i="4"/>
  <c r="E77" i="4"/>
  <c r="I77" i="4" s="1"/>
  <c r="E78" i="4"/>
  <c r="E79" i="4"/>
  <c r="I79" i="4" s="1"/>
  <c r="J73" i="4"/>
  <c r="I78" i="4"/>
  <c r="I76" i="4"/>
  <c r="I74" i="4"/>
  <c r="I72" i="4"/>
  <c r="I70" i="4"/>
  <c r="O80" i="4"/>
  <c r="P61" i="2" s="1"/>
  <c r="O78" i="4"/>
  <c r="P59" i="2" s="1"/>
  <c r="O76" i="4"/>
  <c r="P57" i="2" s="1"/>
  <c r="O74" i="4"/>
  <c r="P55" i="2" s="1"/>
  <c r="O72" i="4"/>
  <c r="P53" i="2" s="1"/>
  <c r="O70" i="4"/>
  <c r="P51" i="2" s="1"/>
  <c r="J79" i="4"/>
  <c r="I78" i="1"/>
  <c r="J76" i="4"/>
  <c r="C69" i="4"/>
  <c r="C70" i="4"/>
  <c r="C71" i="4"/>
  <c r="C72" i="4"/>
  <c r="C73" i="4"/>
  <c r="C74" i="4"/>
  <c r="C75" i="4"/>
  <c r="C76" i="4"/>
  <c r="C77" i="4"/>
  <c r="C78" i="4"/>
  <c r="C79" i="4"/>
  <c r="C80" i="4"/>
  <c r="B62" i="4"/>
  <c r="C49" i="4" s="1"/>
  <c r="C50" i="4"/>
  <c r="C52" i="4"/>
  <c r="C54" i="4"/>
  <c r="C56" i="4"/>
  <c r="C58" i="4"/>
  <c r="C60" i="4"/>
  <c r="B42" i="4"/>
  <c r="C29" i="4" s="1"/>
  <c r="C32" i="4"/>
  <c r="C36" i="4"/>
  <c r="C40" i="4"/>
  <c r="B22" i="4"/>
  <c r="C9" i="4" s="1"/>
  <c r="C10" i="4"/>
  <c r="C12" i="4"/>
  <c r="C14" i="4"/>
  <c r="C16" i="4"/>
  <c r="C18" i="4"/>
  <c r="C20" i="4"/>
  <c r="B82" i="1"/>
  <c r="C80" i="1" s="1"/>
  <c r="C79" i="1"/>
  <c r="C77" i="1"/>
  <c r="C75" i="1"/>
  <c r="C73" i="1"/>
  <c r="C71" i="1"/>
  <c r="C69" i="1"/>
  <c r="L74" i="4"/>
  <c r="J70" i="4"/>
  <c r="L70" i="4" s="1"/>
  <c r="L72" i="4"/>
  <c r="L76" i="4"/>
  <c r="L78" i="4"/>
  <c r="I49" i="4"/>
  <c r="L49" i="4" s="1"/>
  <c r="M49" i="4" s="1"/>
  <c r="I50" i="4"/>
  <c r="J50" i="4"/>
  <c r="L50" i="4" s="1"/>
  <c r="I51" i="4"/>
  <c r="L51" i="4"/>
  <c r="I52" i="4"/>
  <c r="L52" i="4" s="1"/>
  <c r="I53" i="4"/>
  <c r="J53" i="4"/>
  <c r="I54" i="4"/>
  <c r="L54" i="4" s="1"/>
  <c r="N54" i="4" s="1"/>
  <c r="K55" i="2" s="1"/>
  <c r="I55" i="4"/>
  <c r="L55" i="4" s="1"/>
  <c r="N55" i="4" s="1"/>
  <c r="I56" i="4"/>
  <c r="J56" i="4"/>
  <c r="L56" i="4" s="1"/>
  <c r="N56" i="4" s="1"/>
  <c r="I57" i="4"/>
  <c r="L57" i="4"/>
  <c r="N57" i="4" s="1"/>
  <c r="I58" i="4"/>
  <c r="L58" i="4" s="1"/>
  <c r="N58" i="4" s="1"/>
  <c r="I59" i="4"/>
  <c r="J59" i="4"/>
  <c r="I60" i="4"/>
  <c r="L60" i="4" s="1"/>
  <c r="N60" i="4" s="1"/>
  <c r="K61" i="2" s="1"/>
  <c r="D49" i="4"/>
  <c r="D50" i="4" s="1"/>
  <c r="I29" i="4"/>
  <c r="L29" i="4" s="1"/>
  <c r="I30" i="4"/>
  <c r="L30" i="4" s="1"/>
  <c r="N30" i="4" s="1"/>
  <c r="K31" i="2" s="1"/>
  <c r="I31" i="4"/>
  <c r="L31" i="4" s="1"/>
  <c r="N31" i="4" s="1"/>
  <c r="I32" i="4"/>
  <c r="L32" i="4"/>
  <c r="N32" i="4" s="1"/>
  <c r="K33" i="2" s="1"/>
  <c r="I33" i="4"/>
  <c r="L33" i="4" s="1"/>
  <c r="N33" i="4" s="1"/>
  <c r="K34" i="2" s="1"/>
  <c r="I34" i="4"/>
  <c r="L34" i="4" s="1"/>
  <c r="N34" i="4" s="1"/>
  <c r="K35" i="2" s="1"/>
  <c r="I35" i="4"/>
  <c r="L35" i="4" s="1"/>
  <c r="N35" i="4" s="1"/>
  <c r="K36" i="2" s="1"/>
  <c r="I36" i="4"/>
  <c r="J36" i="4"/>
  <c r="L36" i="4" s="1"/>
  <c r="N36" i="4" s="1"/>
  <c r="K37" i="2" s="1"/>
  <c r="I37" i="4"/>
  <c r="L37" i="4"/>
  <c r="N37" i="4" s="1"/>
  <c r="K38" i="2" s="1"/>
  <c r="I38" i="4"/>
  <c r="L38" i="4" s="1"/>
  <c r="N38" i="4" s="1"/>
  <c r="K39" i="2" s="1"/>
  <c r="I39" i="4"/>
  <c r="L39" i="4" s="1"/>
  <c r="N39" i="4" s="1"/>
  <c r="K40" i="2" s="1"/>
  <c r="I40" i="4"/>
  <c r="L40" i="4" s="1"/>
  <c r="N40" i="4" s="1"/>
  <c r="K41" i="2" s="1"/>
  <c r="D29" i="4"/>
  <c r="D30" i="4"/>
  <c r="D31" i="4" s="1"/>
  <c r="D32" i="4" s="1"/>
  <c r="N41" i="2"/>
  <c r="J41" i="2"/>
  <c r="F41" i="2"/>
  <c r="E41" i="2"/>
  <c r="D41" i="2"/>
  <c r="C41" i="2"/>
  <c r="E40" i="2"/>
  <c r="D40" i="2"/>
  <c r="C40" i="2"/>
  <c r="Q78" i="4"/>
  <c r="L59" i="2" s="1"/>
  <c r="E39" i="2"/>
  <c r="D39" i="2"/>
  <c r="C39" i="2"/>
  <c r="E38" i="2"/>
  <c r="D38" i="2"/>
  <c r="C38" i="2"/>
  <c r="Q76" i="4"/>
  <c r="L57" i="2" s="1"/>
  <c r="E37" i="2"/>
  <c r="D37" i="2"/>
  <c r="C37" i="2"/>
  <c r="E36" i="2"/>
  <c r="D36" i="2"/>
  <c r="C36" i="2"/>
  <c r="Q74" i="4"/>
  <c r="L55" i="2" s="1"/>
  <c r="E35" i="2"/>
  <c r="D35" i="2"/>
  <c r="C35" i="2"/>
  <c r="E34" i="2"/>
  <c r="D34" i="2"/>
  <c r="C34" i="2"/>
  <c r="Q72" i="4"/>
  <c r="N52" i="4"/>
  <c r="E33" i="2"/>
  <c r="D33" i="2"/>
  <c r="C33" i="2"/>
  <c r="N51" i="4"/>
  <c r="K52" i="2" s="1"/>
  <c r="K32" i="2"/>
  <c r="G32" i="2"/>
  <c r="E32" i="2"/>
  <c r="D32" i="2"/>
  <c r="C32" i="2"/>
  <c r="Q70" i="4"/>
  <c r="N50" i="4"/>
  <c r="I31" i="2"/>
  <c r="H31" i="2"/>
  <c r="E31" i="2"/>
  <c r="D31" i="2"/>
  <c r="C31" i="2"/>
  <c r="O49" i="4"/>
  <c r="P30" i="2" s="1"/>
  <c r="N49" i="4"/>
  <c r="L30" i="2" s="1"/>
  <c r="N29" i="4"/>
  <c r="K30" i="2" s="1"/>
  <c r="I30" i="2"/>
  <c r="H30" i="2"/>
  <c r="G30" i="2"/>
  <c r="E30" i="2"/>
  <c r="D30" i="2"/>
  <c r="C30" i="2"/>
  <c r="B41" i="2"/>
  <c r="B40" i="2"/>
  <c r="B39" i="2"/>
  <c r="B38" i="2"/>
  <c r="B37" i="2"/>
  <c r="B36" i="2"/>
  <c r="B35" i="2"/>
  <c r="B34" i="2"/>
  <c r="B33" i="2"/>
  <c r="B32" i="2"/>
  <c r="B31" i="2"/>
  <c r="B30" i="2"/>
  <c r="K70" i="4"/>
  <c r="K72" i="4"/>
  <c r="K74" i="4"/>
  <c r="K76" i="4"/>
  <c r="K78" i="4"/>
  <c r="J82" i="4"/>
  <c r="K49" i="4"/>
  <c r="K50" i="4"/>
  <c r="K51" i="4"/>
  <c r="K52" i="4"/>
  <c r="K53" i="4"/>
  <c r="K54" i="4"/>
  <c r="K55" i="4"/>
  <c r="K56" i="4"/>
  <c r="K57" i="4"/>
  <c r="K58" i="4"/>
  <c r="K59" i="4"/>
  <c r="K60" i="4"/>
  <c r="K62" i="4" s="1"/>
  <c r="J62" i="4"/>
  <c r="I62" i="4"/>
  <c r="K29" i="4"/>
  <c r="K30" i="4"/>
  <c r="K31" i="4"/>
  <c r="K32" i="4"/>
  <c r="K33" i="4"/>
  <c r="K34" i="4"/>
  <c r="K35" i="4"/>
  <c r="K36" i="4"/>
  <c r="K37" i="4"/>
  <c r="K38" i="4"/>
  <c r="K39" i="4"/>
  <c r="K40" i="4"/>
  <c r="J42" i="4"/>
  <c r="I42" i="4"/>
  <c r="I20" i="4"/>
  <c r="K20" i="4" s="1"/>
  <c r="I19" i="4"/>
  <c r="L19" i="4" s="1"/>
  <c r="N19" i="4" s="1"/>
  <c r="I18" i="4"/>
  <c r="K18" i="4" s="1"/>
  <c r="I17" i="4"/>
  <c r="L17" i="4" s="1"/>
  <c r="N17" i="4" s="1"/>
  <c r="J16" i="4"/>
  <c r="I16" i="4"/>
  <c r="I15" i="4"/>
  <c r="L15" i="4" s="1"/>
  <c r="I14" i="4"/>
  <c r="L14" i="4" s="1"/>
  <c r="N14" i="4" s="1"/>
  <c r="I13" i="4"/>
  <c r="L13" i="4" s="1"/>
  <c r="I12" i="4"/>
  <c r="K12" i="4" s="1"/>
  <c r="I11" i="4"/>
  <c r="I10" i="4"/>
  <c r="L10" i="4" s="1"/>
  <c r="N10" i="4" s="1"/>
  <c r="L12" i="4"/>
  <c r="N12" i="4" s="1"/>
  <c r="L16" i="4"/>
  <c r="N16" i="4" s="1"/>
  <c r="L18" i="4"/>
  <c r="N18" i="4" s="1"/>
  <c r="L20" i="4"/>
  <c r="N20" i="4" s="1"/>
  <c r="I9" i="4"/>
  <c r="L9" i="4"/>
  <c r="N15" i="4"/>
  <c r="N13" i="4"/>
  <c r="D9" i="4"/>
  <c r="K9" i="4"/>
  <c r="D10" i="4"/>
  <c r="D11" i="4" s="1"/>
  <c r="K10" i="4"/>
  <c r="K11" i="4"/>
  <c r="D12" i="4"/>
  <c r="D13" i="4" s="1"/>
  <c r="D14" i="4" s="1"/>
  <c r="D15" i="4" s="1"/>
  <c r="D16" i="4" s="1"/>
  <c r="D17" i="4" s="1"/>
  <c r="D18" i="4" s="1"/>
  <c r="D19" i="4" s="1"/>
  <c r="D20" i="4" s="1"/>
  <c r="K13" i="4"/>
  <c r="K14" i="4"/>
  <c r="K15" i="4"/>
  <c r="K19" i="4"/>
  <c r="J22" i="4"/>
  <c r="N74" i="1"/>
  <c r="N75" i="1"/>
  <c r="N76" i="1"/>
  <c r="N77" i="1"/>
  <c r="N78" i="1"/>
  <c r="P78" i="1" s="1"/>
  <c r="M18" i="2" s="1"/>
  <c r="N79" i="1"/>
  <c r="P79" i="1" s="1"/>
  <c r="M19" i="2" s="1"/>
  <c r="N80" i="1"/>
  <c r="P80" i="1" s="1"/>
  <c r="M20" i="2" s="1"/>
  <c r="E20" i="2"/>
  <c r="D20" i="2"/>
  <c r="C20" i="2"/>
  <c r="B20" i="2"/>
  <c r="E19" i="2"/>
  <c r="D19" i="2"/>
  <c r="C19" i="2"/>
  <c r="B19" i="2"/>
  <c r="E18" i="2"/>
  <c r="D18" i="2"/>
  <c r="C18" i="2"/>
  <c r="B18" i="2"/>
  <c r="P77" i="1"/>
  <c r="M17" i="2"/>
  <c r="E17" i="2"/>
  <c r="D17" i="2"/>
  <c r="C17" i="2"/>
  <c r="B17" i="2"/>
  <c r="P76" i="1"/>
  <c r="M16" i="2"/>
  <c r="E16" i="2"/>
  <c r="D16" i="2"/>
  <c r="C16" i="2"/>
  <c r="B16" i="2"/>
  <c r="P75" i="1"/>
  <c r="M15" i="2"/>
  <c r="E15" i="2"/>
  <c r="D15" i="2"/>
  <c r="C15" i="2"/>
  <c r="B15" i="2"/>
  <c r="P74" i="1"/>
  <c r="M14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D69" i="1"/>
  <c r="I9" i="2" s="1"/>
  <c r="D49" i="1"/>
  <c r="H9" i="2" s="1"/>
  <c r="D50" i="1"/>
  <c r="H10" i="2" s="1"/>
  <c r="D29" i="1"/>
  <c r="G9" i="2" s="1"/>
  <c r="D30" i="1"/>
  <c r="F30" i="2" s="1"/>
  <c r="D9" i="1"/>
  <c r="F9" i="2" s="1"/>
  <c r="N69" i="1"/>
  <c r="N70" i="1"/>
  <c r="P70" i="1" s="1"/>
  <c r="M10" i="2" s="1"/>
  <c r="N71" i="1"/>
  <c r="P71" i="1" s="1"/>
  <c r="M11" i="2" s="1"/>
  <c r="N72" i="1"/>
  <c r="P72" i="1" s="1"/>
  <c r="M12" i="2" s="1"/>
  <c r="N73" i="1"/>
  <c r="P73" i="1" s="1"/>
  <c r="M13" i="2" s="1"/>
  <c r="G69" i="1"/>
  <c r="L69" i="1"/>
  <c r="M69" i="1"/>
  <c r="G70" i="1"/>
  <c r="L70" i="1"/>
  <c r="M70" i="1" s="1"/>
  <c r="G71" i="1"/>
  <c r="L71" i="1"/>
  <c r="M71" i="1" s="1"/>
  <c r="G72" i="1"/>
  <c r="L72" i="1"/>
  <c r="G73" i="1"/>
  <c r="L73" i="1"/>
  <c r="M73" i="1"/>
  <c r="G74" i="1"/>
  <c r="L74" i="1"/>
  <c r="M74" i="1" s="1"/>
  <c r="G75" i="1"/>
  <c r="L75" i="1"/>
  <c r="M75" i="1" s="1"/>
  <c r="G76" i="1"/>
  <c r="L76" i="1"/>
  <c r="G77" i="1"/>
  <c r="L77" i="1"/>
  <c r="M77" i="1"/>
  <c r="G78" i="1"/>
  <c r="L78" i="1"/>
  <c r="M78" i="1" s="1"/>
  <c r="G79" i="1"/>
  <c r="L79" i="1"/>
  <c r="M79" i="1" s="1"/>
  <c r="G80" i="1"/>
  <c r="L80" i="1"/>
  <c r="K82" i="1"/>
  <c r="J82" i="1"/>
  <c r="I82" i="1"/>
  <c r="F82" i="1"/>
  <c r="E82" i="1"/>
  <c r="N49" i="1"/>
  <c r="O49" i="1" s="1"/>
  <c r="N50" i="1"/>
  <c r="P50" i="1" s="1"/>
  <c r="L10" i="2" s="1"/>
  <c r="N51" i="1"/>
  <c r="P51" i="1" s="1"/>
  <c r="N52" i="1"/>
  <c r="P52" i="1" s="1"/>
  <c r="N53" i="1"/>
  <c r="P53" i="1" s="1"/>
  <c r="N54" i="1"/>
  <c r="P54" i="1" s="1"/>
  <c r="N55" i="1"/>
  <c r="P55" i="1" s="1"/>
  <c r="N56" i="1"/>
  <c r="P56" i="1" s="1"/>
  <c r="N57" i="1"/>
  <c r="P57" i="1" s="1"/>
  <c r="N58" i="1"/>
  <c r="P58" i="1" s="1"/>
  <c r="N59" i="1"/>
  <c r="P59" i="1" s="1"/>
  <c r="N60" i="1"/>
  <c r="P60" i="1" s="1"/>
  <c r="B62" i="1"/>
  <c r="G49" i="1"/>
  <c r="L49" i="1"/>
  <c r="M49" i="1"/>
  <c r="G50" i="1"/>
  <c r="L50" i="1"/>
  <c r="G51" i="1"/>
  <c r="L51" i="1"/>
  <c r="M51" i="1"/>
  <c r="G52" i="1"/>
  <c r="L52" i="1"/>
  <c r="M52" i="1" s="1"/>
  <c r="G53" i="1"/>
  <c r="L53" i="1"/>
  <c r="M53" i="1" s="1"/>
  <c r="G54" i="1"/>
  <c r="L54" i="1"/>
  <c r="G55" i="1"/>
  <c r="L55" i="1"/>
  <c r="M55" i="1"/>
  <c r="G56" i="1"/>
  <c r="L56" i="1"/>
  <c r="M56" i="1" s="1"/>
  <c r="G57" i="1"/>
  <c r="L57" i="1"/>
  <c r="M57" i="1" s="1"/>
  <c r="G58" i="1"/>
  <c r="L58" i="1"/>
  <c r="G59" i="1"/>
  <c r="L59" i="1"/>
  <c r="M59" i="1"/>
  <c r="G60" i="1"/>
  <c r="L60" i="1"/>
  <c r="M60" i="1" s="1"/>
  <c r="K62" i="1"/>
  <c r="J62" i="1"/>
  <c r="I62" i="1"/>
  <c r="F62" i="1"/>
  <c r="E62" i="1"/>
  <c r="N29" i="1"/>
  <c r="P29" i="1" s="1"/>
  <c r="K9" i="2" s="1"/>
  <c r="N30" i="1"/>
  <c r="P30" i="1" s="1"/>
  <c r="N31" i="1"/>
  <c r="P31" i="1" s="1"/>
  <c r="N32" i="1"/>
  <c r="P32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P39" i="1" s="1"/>
  <c r="N40" i="1"/>
  <c r="P40" i="1" s="1"/>
  <c r="N42" i="1"/>
  <c r="P42" i="1" s="1"/>
  <c r="B42" i="1"/>
  <c r="G29" i="1"/>
  <c r="L29" i="1"/>
  <c r="M29" i="1"/>
  <c r="G30" i="1"/>
  <c r="L30" i="1"/>
  <c r="M30" i="1" s="1"/>
  <c r="G31" i="1"/>
  <c r="L31" i="1"/>
  <c r="M31" i="1" s="1"/>
  <c r="G32" i="1"/>
  <c r="L32" i="1"/>
  <c r="G33" i="1"/>
  <c r="L33" i="1"/>
  <c r="M33" i="1"/>
  <c r="G34" i="1"/>
  <c r="L34" i="1"/>
  <c r="M34" i="1" s="1"/>
  <c r="G35" i="1"/>
  <c r="L35" i="1"/>
  <c r="M35" i="1" s="1"/>
  <c r="G36" i="1"/>
  <c r="L36" i="1"/>
  <c r="G37" i="1"/>
  <c r="L37" i="1"/>
  <c r="M37" i="1"/>
  <c r="G38" i="1"/>
  <c r="L38" i="1"/>
  <c r="M38" i="1" s="1"/>
  <c r="G39" i="1"/>
  <c r="L39" i="1"/>
  <c r="M39" i="1" s="1"/>
  <c r="G40" i="1"/>
  <c r="L40" i="1"/>
  <c r="K42" i="1"/>
  <c r="J42" i="1"/>
  <c r="I42" i="1"/>
  <c r="F42" i="1"/>
  <c r="E42" i="1"/>
  <c r="B22" i="1"/>
  <c r="N14" i="1"/>
  <c r="P14" i="1" s="1"/>
  <c r="J14" i="2" s="1"/>
  <c r="N15" i="1"/>
  <c r="P15" i="1" s="1"/>
  <c r="J15" i="2" s="1"/>
  <c r="N16" i="1"/>
  <c r="P16" i="1" s="1"/>
  <c r="J16" i="2" s="1"/>
  <c r="N17" i="1"/>
  <c r="P17" i="1" s="1"/>
  <c r="J17" i="2" s="1"/>
  <c r="N18" i="1"/>
  <c r="P18" i="1" s="1"/>
  <c r="J18" i="2" s="1"/>
  <c r="N19" i="1"/>
  <c r="P19" i="1" s="1"/>
  <c r="J19" i="2" s="1"/>
  <c r="N20" i="1"/>
  <c r="P20" i="1" s="1"/>
  <c r="J20" i="2" s="1"/>
  <c r="N10" i="1"/>
  <c r="P10" i="1" s="1"/>
  <c r="J10" i="2" s="1"/>
  <c r="N11" i="1"/>
  <c r="P11" i="1" s="1"/>
  <c r="J11" i="2" s="1"/>
  <c r="N12" i="1"/>
  <c r="P12" i="1" s="1"/>
  <c r="J12" i="2" s="1"/>
  <c r="N13" i="1"/>
  <c r="P13" i="1" s="1"/>
  <c r="J13" i="2" s="1"/>
  <c r="G20" i="1"/>
  <c r="L20" i="1"/>
  <c r="M20" i="1" s="1"/>
  <c r="G19" i="1"/>
  <c r="L19" i="1"/>
  <c r="G18" i="1"/>
  <c r="L18" i="1"/>
  <c r="M18" i="1"/>
  <c r="G17" i="1"/>
  <c r="L17" i="1"/>
  <c r="M17" i="1" s="1"/>
  <c r="G16" i="1"/>
  <c r="L16" i="1"/>
  <c r="G15" i="1"/>
  <c r="L15" i="1"/>
  <c r="M15" i="1" s="1"/>
  <c r="G14" i="1"/>
  <c r="L14" i="1"/>
  <c r="M14" i="1" s="1"/>
  <c r="G13" i="1"/>
  <c r="L13" i="1"/>
  <c r="G12" i="1"/>
  <c r="M12" i="1" s="1"/>
  <c r="L12" i="1"/>
  <c r="G11" i="1"/>
  <c r="L11" i="1"/>
  <c r="G10" i="1"/>
  <c r="L10" i="1"/>
  <c r="M10" i="1"/>
  <c r="L9" i="1"/>
  <c r="K22" i="1"/>
  <c r="J22" i="1"/>
  <c r="I22" i="1"/>
  <c r="F22" i="1"/>
  <c r="E9" i="1"/>
  <c r="N9" i="1" s="1"/>
  <c r="L32" i="2" l="1"/>
  <c r="L77" i="4"/>
  <c r="Q77" i="4" s="1"/>
  <c r="K77" i="4"/>
  <c r="L75" i="4"/>
  <c r="Q75" i="4" s="1"/>
  <c r="K75" i="4"/>
  <c r="K73" i="4"/>
  <c r="L73" i="4"/>
  <c r="Q73" i="4" s="1"/>
  <c r="K71" i="4"/>
  <c r="L71" i="4"/>
  <c r="Q71" i="4" s="1"/>
  <c r="L80" i="4"/>
  <c r="Q80" i="4" s="1"/>
  <c r="L61" i="2" s="1"/>
  <c r="K80" i="4"/>
  <c r="L90" i="4"/>
  <c r="K90" i="4"/>
  <c r="I102" i="4"/>
  <c r="L92" i="4"/>
  <c r="K92" i="4"/>
  <c r="L94" i="4"/>
  <c r="Q94" i="4" s="1"/>
  <c r="M55" i="2" s="1"/>
  <c r="K94" i="4"/>
  <c r="L96" i="4"/>
  <c r="Q96" i="4" s="1"/>
  <c r="M57" i="2" s="1"/>
  <c r="K96" i="4"/>
  <c r="D91" i="4"/>
  <c r="I51" i="2"/>
  <c r="C82" i="4"/>
  <c r="E82" i="4"/>
  <c r="Q115" i="4"/>
  <c r="L115" i="4"/>
  <c r="Q119" i="4"/>
  <c r="L119" i="4"/>
  <c r="Q140" i="4"/>
  <c r="L140" i="4"/>
  <c r="K17" i="4"/>
  <c r="K16" i="4"/>
  <c r="L59" i="4"/>
  <c r="N59" i="4" s="1"/>
  <c r="L53" i="4"/>
  <c r="C38" i="4"/>
  <c r="C34" i="4"/>
  <c r="C30" i="4"/>
  <c r="O69" i="4"/>
  <c r="O71" i="4"/>
  <c r="P52" i="2" s="1"/>
  <c r="O73" i="4"/>
  <c r="P54" i="2" s="1"/>
  <c r="O75" i="4"/>
  <c r="P56" i="2" s="1"/>
  <c r="O77" i="4"/>
  <c r="P58" i="2" s="1"/>
  <c r="O79" i="4"/>
  <c r="P60" i="2" s="1"/>
  <c r="I69" i="4"/>
  <c r="F82" i="4"/>
  <c r="K100" i="4"/>
  <c r="K98" i="4"/>
  <c r="M90" i="4"/>
  <c r="L113" i="4"/>
  <c r="Q113" i="4" s="1"/>
  <c r="L117" i="4"/>
  <c r="Q117" i="4" s="1"/>
  <c r="L139" i="4"/>
  <c r="Q139" i="4" s="1"/>
  <c r="B146" i="4"/>
  <c r="B150" i="4"/>
  <c r="Q129" i="1"/>
  <c r="G42" i="1"/>
  <c r="N102" i="1"/>
  <c r="P102" i="1" s="1"/>
  <c r="M11" i="1"/>
  <c r="M13" i="1"/>
  <c r="M16" i="1"/>
  <c r="M19" i="1"/>
  <c r="M40" i="1"/>
  <c r="M36" i="1"/>
  <c r="M32" i="1"/>
  <c r="M58" i="1"/>
  <c r="M54" i="1"/>
  <c r="G62" i="1"/>
  <c r="M50" i="1"/>
  <c r="N62" i="1"/>
  <c r="P62" i="1" s="1"/>
  <c r="J62" i="2" s="1"/>
  <c r="M80" i="1"/>
  <c r="M76" i="1"/>
  <c r="G82" i="1"/>
  <c r="M72" i="1"/>
  <c r="N82" i="1"/>
  <c r="P82" i="1" s="1"/>
  <c r="L102" i="1"/>
  <c r="M99" i="1"/>
  <c r="M95" i="1"/>
  <c r="M91" i="1"/>
  <c r="M120" i="1"/>
  <c r="G122" i="1"/>
  <c r="M116" i="1"/>
  <c r="M112" i="1"/>
  <c r="M136" i="1"/>
  <c r="M132" i="1"/>
  <c r="N156" i="4"/>
  <c r="R155" i="4"/>
  <c r="M158" i="4"/>
  <c r="P157" i="4"/>
  <c r="O158" i="1"/>
  <c r="Q157" i="1"/>
  <c r="M140" i="1"/>
  <c r="K140" i="4"/>
  <c r="K139" i="4"/>
  <c r="K142" i="4" s="1"/>
  <c r="M42" i="1"/>
  <c r="J39" i="2"/>
  <c r="K19" i="2"/>
  <c r="J37" i="2"/>
  <c r="K17" i="2"/>
  <c r="J35" i="2"/>
  <c r="K15" i="2"/>
  <c r="J33" i="2"/>
  <c r="K13" i="2"/>
  <c r="J31" i="2"/>
  <c r="K11" i="2"/>
  <c r="J60" i="2"/>
  <c r="L20" i="2"/>
  <c r="J58" i="2"/>
  <c r="L18" i="2"/>
  <c r="J56" i="2"/>
  <c r="L16" i="2"/>
  <c r="J54" i="2"/>
  <c r="L14" i="2"/>
  <c r="J52" i="2"/>
  <c r="L12" i="2"/>
  <c r="M82" i="1"/>
  <c r="P9" i="1"/>
  <c r="J9" i="2" s="1"/>
  <c r="O9" i="1"/>
  <c r="N22" i="1"/>
  <c r="P22" i="1" s="1"/>
  <c r="J40" i="2"/>
  <c r="K20" i="2"/>
  <c r="J38" i="2"/>
  <c r="K18" i="2"/>
  <c r="J36" i="2"/>
  <c r="K16" i="2"/>
  <c r="J34" i="2"/>
  <c r="K14" i="2"/>
  <c r="J32" i="2"/>
  <c r="K12" i="2"/>
  <c r="J30" i="2"/>
  <c r="K10" i="2"/>
  <c r="M62" i="1"/>
  <c r="J59" i="2"/>
  <c r="L19" i="2"/>
  <c r="J57" i="2"/>
  <c r="L17" i="2"/>
  <c r="J55" i="2"/>
  <c r="L15" i="2"/>
  <c r="J53" i="2"/>
  <c r="L13" i="2"/>
  <c r="J51" i="2"/>
  <c r="L11" i="2"/>
  <c r="Q49" i="1"/>
  <c r="P9" i="2" s="1"/>
  <c r="O50" i="1"/>
  <c r="E22" i="1"/>
  <c r="L22" i="1"/>
  <c r="G9" i="1"/>
  <c r="L42" i="1"/>
  <c r="C39" i="1"/>
  <c r="C37" i="1"/>
  <c r="C35" i="1"/>
  <c r="C33" i="1"/>
  <c r="C31" i="1"/>
  <c r="C29" i="1"/>
  <c r="C40" i="1"/>
  <c r="C38" i="1"/>
  <c r="C36" i="1"/>
  <c r="C34" i="1"/>
  <c r="C32" i="1"/>
  <c r="C30" i="1"/>
  <c r="L62" i="1"/>
  <c r="B62" i="2"/>
  <c r="C59" i="1"/>
  <c r="C57" i="1"/>
  <c r="C55" i="1"/>
  <c r="C53" i="1"/>
  <c r="C51" i="1"/>
  <c r="C49" i="1"/>
  <c r="C60" i="1"/>
  <c r="C58" i="1"/>
  <c r="C56" i="1"/>
  <c r="C54" i="1"/>
  <c r="C52" i="1"/>
  <c r="C50" i="1"/>
  <c r="L82" i="1"/>
  <c r="D10" i="1"/>
  <c r="D31" i="1"/>
  <c r="D51" i="1"/>
  <c r="D70" i="1"/>
  <c r="O29" i="1"/>
  <c r="P49" i="1"/>
  <c r="L9" i="2" s="1"/>
  <c r="M9" i="4"/>
  <c r="K42" i="4"/>
  <c r="L51" i="2"/>
  <c r="M31" i="2"/>
  <c r="L53" i="2"/>
  <c r="M33" i="2"/>
  <c r="D33" i="4"/>
  <c r="G33" i="2"/>
  <c r="G51" i="2"/>
  <c r="D51" i="4"/>
  <c r="K58" i="2"/>
  <c r="L38" i="2"/>
  <c r="K57" i="2"/>
  <c r="L37" i="2"/>
  <c r="K56" i="2"/>
  <c r="L36" i="2"/>
  <c r="M50" i="4"/>
  <c r="K79" i="4"/>
  <c r="I82" i="4"/>
  <c r="L79" i="4"/>
  <c r="Q79" i="4" s="1"/>
  <c r="O91" i="1"/>
  <c r="Q90" i="1"/>
  <c r="M102" i="1"/>
  <c r="M91" i="4"/>
  <c r="P90" i="4"/>
  <c r="C18" i="1"/>
  <c r="C16" i="1"/>
  <c r="C14" i="1"/>
  <c r="C12" i="1"/>
  <c r="C10" i="1"/>
  <c r="C20" i="1"/>
  <c r="C19" i="1"/>
  <c r="C17" i="1"/>
  <c r="C15" i="1"/>
  <c r="C13" i="1"/>
  <c r="C11" i="1"/>
  <c r="C9" i="1"/>
  <c r="P69" i="1"/>
  <c r="M9" i="2" s="1"/>
  <c r="O69" i="1"/>
  <c r="G10" i="2"/>
  <c r="K22" i="4"/>
  <c r="N9" i="4"/>
  <c r="L11" i="4"/>
  <c r="N11" i="4" s="1"/>
  <c r="I22" i="4"/>
  <c r="K144" i="4"/>
  <c r="K51" i="2"/>
  <c r="L31" i="2"/>
  <c r="K53" i="2"/>
  <c r="L33" i="2"/>
  <c r="L42" i="4"/>
  <c r="N42" i="4" s="1"/>
  <c r="M29" i="4"/>
  <c r="K60" i="2"/>
  <c r="L40" i="2"/>
  <c r="K59" i="2"/>
  <c r="L39" i="2"/>
  <c r="L58" i="2"/>
  <c r="M38" i="2"/>
  <c r="O112" i="1"/>
  <c r="Q111" i="1"/>
  <c r="M122" i="1"/>
  <c r="M111" i="4"/>
  <c r="P110" i="4"/>
  <c r="N109" i="4"/>
  <c r="Q109" i="4"/>
  <c r="B21" i="6"/>
  <c r="M16" i="3"/>
  <c r="M21" i="3" s="1"/>
  <c r="C22" i="6"/>
  <c r="N37" i="3"/>
  <c r="N42" i="3" s="1"/>
  <c r="E22" i="6"/>
  <c r="O58" i="3"/>
  <c r="O63" i="3" s="1"/>
  <c r="D42" i="3"/>
  <c r="H42" i="3"/>
  <c r="C63" i="3"/>
  <c r="D63" i="3" s="1"/>
  <c r="D58" i="3"/>
  <c r="E63" i="3"/>
  <c r="F63" i="3" s="1"/>
  <c r="F58" i="3"/>
  <c r="G63" i="3"/>
  <c r="H63" i="3" s="1"/>
  <c r="H58" i="3"/>
  <c r="I63" i="3"/>
  <c r="J63" i="3" s="1"/>
  <c r="J58" i="3"/>
  <c r="C21" i="3"/>
  <c r="D21" i="3" s="1"/>
  <c r="D16" i="3"/>
  <c r="E21" i="3"/>
  <c r="F21" i="3" s="1"/>
  <c r="F16" i="3"/>
  <c r="G21" i="3"/>
  <c r="H21" i="3" s="1"/>
  <c r="H16" i="3"/>
  <c r="I21" i="3"/>
  <c r="J21" i="3" s="1"/>
  <c r="J16" i="3"/>
  <c r="G31" i="2"/>
  <c r="L35" i="2"/>
  <c r="M35" i="2"/>
  <c r="M37" i="2"/>
  <c r="M39" i="2"/>
  <c r="L41" i="2"/>
  <c r="M41" i="2"/>
  <c r="C70" i="1"/>
  <c r="C72" i="1"/>
  <c r="C74" i="1"/>
  <c r="C76" i="1"/>
  <c r="C78" i="1"/>
  <c r="C19" i="4"/>
  <c r="C17" i="4"/>
  <c r="C15" i="4"/>
  <c r="C13" i="4"/>
  <c r="C11" i="4"/>
  <c r="C39" i="4"/>
  <c r="C37" i="4"/>
  <c r="C35" i="4"/>
  <c r="C33" i="4"/>
  <c r="C31" i="4"/>
  <c r="C59" i="4"/>
  <c r="C57" i="4"/>
  <c r="C55" i="4"/>
  <c r="C53" i="4"/>
  <c r="C51" i="4"/>
  <c r="M69" i="4"/>
  <c r="C90" i="1"/>
  <c r="C92" i="1"/>
  <c r="C94" i="1"/>
  <c r="C96" i="1"/>
  <c r="C98" i="1"/>
  <c r="H51" i="2"/>
  <c r="D71" i="4"/>
  <c r="I122" i="4"/>
  <c r="L110" i="4"/>
  <c r="Q110" i="4" s="1"/>
  <c r="K110" i="4"/>
  <c r="Q112" i="4"/>
  <c r="K112" i="4"/>
  <c r="Q114" i="4"/>
  <c r="K114" i="4"/>
  <c r="B22" i="6"/>
  <c r="N16" i="3"/>
  <c r="N21" i="3" s="1"/>
  <c r="D22" i="6"/>
  <c r="E21" i="6"/>
  <c r="N58" i="3"/>
  <c r="N63" i="3" s="1"/>
  <c r="L42" i="3"/>
  <c r="D18" i="6"/>
  <c r="E18" i="6" s="1"/>
  <c r="E12" i="6"/>
  <c r="E13" i="6"/>
  <c r="E14" i="6"/>
  <c r="E15" i="6"/>
  <c r="E16" i="6"/>
  <c r="K63" i="3"/>
  <c r="L63" i="3" s="1"/>
  <c r="L58" i="3"/>
  <c r="K21" i="3"/>
  <c r="L21" i="3" s="1"/>
  <c r="L16" i="3"/>
  <c r="C120" i="1"/>
  <c r="D37" i="3"/>
  <c r="H37" i="3"/>
  <c r="L37" i="3"/>
  <c r="D21" i="6"/>
  <c r="C109" i="1"/>
  <c r="C111" i="1"/>
  <c r="C113" i="1"/>
  <c r="C115" i="1"/>
  <c r="C117" i="1"/>
  <c r="C119" i="1"/>
  <c r="O131" i="1"/>
  <c r="Q130" i="1"/>
  <c r="M130" i="1"/>
  <c r="M142" i="1" s="1"/>
  <c r="L142" i="1"/>
  <c r="G142" i="1"/>
  <c r="N142" i="1"/>
  <c r="P142" i="1" s="1"/>
  <c r="R131" i="4"/>
  <c r="N132" i="4"/>
  <c r="P130" i="4"/>
  <c r="M131" i="4"/>
  <c r="Q110" i="1"/>
  <c r="L122" i="1"/>
  <c r="P122" i="1"/>
  <c r="K111" i="4"/>
  <c r="K109" i="4"/>
  <c r="O29" i="3"/>
  <c r="O33" i="3" s="1"/>
  <c r="O37" i="3" s="1"/>
  <c r="O42" i="3" s="1"/>
  <c r="E37" i="3"/>
  <c r="I37" i="3"/>
  <c r="M37" i="3"/>
  <c r="M42" i="3" s="1"/>
  <c r="C110" i="1"/>
  <c r="C112" i="1"/>
  <c r="C114" i="1"/>
  <c r="C116" i="1"/>
  <c r="C118" i="1"/>
  <c r="I52" i="2"/>
  <c r="D92" i="4"/>
  <c r="R130" i="4"/>
  <c r="C42" i="4" l="1"/>
  <c r="L102" i="4"/>
  <c r="Q102" i="4" s="1"/>
  <c r="Q92" i="4"/>
  <c r="M53" i="2" s="1"/>
  <c r="K102" i="4"/>
  <c r="L52" i="2"/>
  <c r="M32" i="2"/>
  <c r="L54" i="2"/>
  <c r="M34" i="2"/>
  <c r="C62" i="4"/>
  <c r="C22" i="4"/>
  <c r="L142" i="4"/>
  <c r="Q142" i="4" s="1"/>
  <c r="K69" i="4"/>
  <c r="K82" i="4" s="1"/>
  <c r="L69" i="4"/>
  <c r="N53" i="4"/>
  <c r="L62" i="4"/>
  <c r="N62" i="4" s="1"/>
  <c r="C168" i="4"/>
  <c r="C189" i="4"/>
  <c r="Q90" i="4"/>
  <c r="M51" i="2" s="1"/>
  <c r="N90" i="4"/>
  <c r="L56" i="2"/>
  <c r="M36" i="2"/>
  <c r="C82" i="1"/>
  <c r="M159" i="4"/>
  <c r="P158" i="4"/>
  <c r="R156" i="4"/>
  <c r="N157" i="4"/>
  <c r="Q158" i="1"/>
  <c r="O159" i="1"/>
  <c r="J37" i="3"/>
  <c r="I42" i="3"/>
  <c r="J42" i="3" s="1"/>
  <c r="C122" i="4"/>
  <c r="C142" i="4"/>
  <c r="H52" i="2"/>
  <c r="D72" i="4"/>
  <c r="I32" i="2"/>
  <c r="P69" i="4"/>
  <c r="M70" i="4"/>
  <c r="L122" i="4"/>
  <c r="Q122" i="4" s="1"/>
  <c r="O113" i="1"/>
  <c r="Q112" i="1"/>
  <c r="O70" i="1"/>
  <c r="Q69" i="1"/>
  <c r="Q9" i="2" s="1"/>
  <c r="C22" i="1"/>
  <c r="M92" i="4"/>
  <c r="P91" i="4"/>
  <c r="L60" i="2"/>
  <c r="M40" i="2"/>
  <c r="G52" i="2"/>
  <c r="D52" i="4"/>
  <c r="H32" i="2"/>
  <c r="L22" i="4"/>
  <c r="N22" i="4" s="1"/>
  <c r="O30" i="1"/>
  <c r="Q29" i="1"/>
  <c r="O9" i="2" s="1"/>
  <c r="F51" i="2"/>
  <c r="D52" i="1"/>
  <c r="H11" i="2"/>
  <c r="F10" i="2"/>
  <c r="D11" i="1"/>
  <c r="C62" i="1"/>
  <c r="C42" i="1"/>
  <c r="O51" i="1"/>
  <c r="Q50" i="1"/>
  <c r="P10" i="2" s="1"/>
  <c r="O10" i="1"/>
  <c r="Q9" i="1"/>
  <c r="N9" i="2" s="1"/>
  <c r="D93" i="4"/>
  <c r="I53" i="2"/>
  <c r="F37" i="3"/>
  <c r="E42" i="3"/>
  <c r="F42" i="3" s="1"/>
  <c r="K122" i="4"/>
  <c r="M132" i="4"/>
  <c r="P131" i="4"/>
  <c r="N133" i="4"/>
  <c r="R132" i="4"/>
  <c r="C142" i="1"/>
  <c r="Q131" i="1"/>
  <c r="O132" i="1"/>
  <c r="C122" i="1"/>
  <c r="C102" i="1"/>
  <c r="R109" i="4"/>
  <c r="N110" i="4"/>
  <c r="M112" i="4"/>
  <c r="P111" i="4"/>
  <c r="K145" i="4"/>
  <c r="K146" i="4" s="1"/>
  <c r="M30" i="4"/>
  <c r="O29" i="4"/>
  <c r="O30" i="2" s="1"/>
  <c r="O92" i="1"/>
  <c r="Q91" i="1"/>
  <c r="M51" i="4"/>
  <c r="O50" i="4"/>
  <c r="D34" i="4"/>
  <c r="G34" i="2"/>
  <c r="O9" i="4"/>
  <c r="M10" i="4"/>
  <c r="I10" i="2"/>
  <c r="D71" i="1"/>
  <c r="G11" i="2"/>
  <c r="D32" i="1"/>
  <c r="F31" i="2"/>
  <c r="M9" i="1"/>
  <c r="M22" i="1" s="1"/>
  <c r="G22" i="1"/>
  <c r="R90" i="4" l="1"/>
  <c r="Q51" i="2" s="1"/>
  <c r="N91" i="4"/>
  <c r="N69" i="4"/>
  <c r="Q69" i="4"/>
  <c r="M30" i="2" s="1"/>
  <c r="L82" i="4"/>
  <c r="Q82" i="4" s="1"/>
  <c r="K54" i="2"/>
  <c r="L34" i="2"/>
  <c r="N158" i="4"/>
  <c r="R157" i="4"/>
  <c r="M160" i="4"/>
  <c r="P159" i="4"/>
  <c r="O160" i="1"/>
  <c r="Q159" i="1"/>
  <c r="F32" i="2"/>
  <c r="G12" i="2"/>
  <c r="D33" i="1"/>
  <c r="M113" i="4"/>
  <c r="P112" i="4"/>
  <c r="I54" i="2"/>
  <c r="D94" i="4"/>
  <c r="O11" i="1"/>
  <c r="Q10" i="1"/>
  <c r="N10" i="2" s="1"/>
  <c r="Q51" i="1"/>
  <c r="O52" i="1"/>
  <c r="F52" i="2"/>
  <c r="H12" i="2"/>
  <c r="D53" i="1"/>
  <c r="G53" i="2"/>
  <c r="D53" i="4"/>
  <c r="H33" i="2"/>
  <c r="O71" i="1"/>
  <c r="Q70" i="1"/>
  <c r="Q10" i="2" s="1"/>
  <c r="H53" i="2"/>
  <c r="D73" i="4"/>
  <c r="I33" i="2"/>
  <c r="I11" i="2"/>
  <c r="D72" i="1"/>
  <c r="M11" i="4"/>
  <c r="O10" i="4"/>
  <c r="O51" i="2"/>
  <c r="P31" i="2"/>
  <c r="D35" i="4"/>
  <c r="G35" i="2"/>
  <c r="M52" i="4"/>
  <c r="O51" i="4"/>
  <c r="O93" i="1"/>
  <c r="Q92" i="1"/>
  <c r="O30" i="4"/>
  <c r="O31" i="2" s="1"/>
  <c r="M31" i="4"/>
  <c r="N111" i="4"/>
  <c r="R110" i="4"/>
  <c r="O133" i="1"/>
  <c r="Q132" i="1"/>
  <c r="R133" i="4"/>
  <c r="N134" i="4"/>
  <c r="P132" i="4"/>
  <c r="M133" i="4"/>
  <c r="D12" i="1"/>
  <c r="F11" i="2"/>
  <c r="O31" i="1"/>
  <c r="Q30" i="1"/>
  <c r="M93" i="4"/>
  <c r="P92" i="4"/>
  <c r="O114" i="1"/>
  <c r="Q113" i="1"/>
  <c r="M71" i="4"/>
  <c r="P70" i="4"/>
  <c r="R91" i="4" l="1"/>
  <c r="Q52" i="2" s="1"/>
  <c r="N92" i="4"/>
  <c r="N70" i="4"/>
  <c r="R69" i="4"/>
  <c r="Q30" i="2" s="1"/>
  <c r="M161" i="4"/>
  <c r="P160" i="4"/>
  <c r="R158" i="4"/>
  <c r="N159" i="4"/>
  <c r="Q160" i="1"/>
  <c r="O161" i="1"/>
  <c r="P71" i="4"/>
  <c r="M72" i="4"/>
  <c r="O115" i="1"/>
  <c r="Q114" i="1"/>
  <c r="N30" i="2"/>
  <c r="O10" i="2"/>
  <c r="Q133" i="1"/>
  <c r="O134" i="1"/>
  <c r="R111" i="4"/>
  <c r="N112" i="4"/>
  <c r="O94" i="1"/>
  <c r="Q93" i="1"/>
  <c r="O52" i="4"/>
  <c r="M53" i="4"/>
  <c r="D36" i="4"/>
  <c r="G36" i="2"/>
  <c r="O11" i="4"/>
  <c r="M12" i="4"/>
  <c r="H54" i="2"/>
  <c r="D74" i="4"/>
  <c r="I34" i="2"/>
  <c r="O53" i="1"/>
  <c r="Q52" i="1"/>
  <c r="D95" i="4"/>
  <c r="I55" i="2"/>
  <c r="M114" i="4"/>
  <c r="P113" i="4"/>
  <c r="M94" i="4"/>
  <c r="P93" i="4"/>
  <c r="O32" i="1"/>
  <c r="Q31" i="1"/>
  <c r="F12" i="2"/>
  <c r="D13" i="1"/>
  <c r="M134" i="4"/>
  <c r="P133" i="4"/>
  <c r="N135" i="4"/>
  <c r="R134" i="4"/>
  <c r="M32" i="4"/>
  <c r="O31" i="4"/>
  <c r="O32" i="2" s="1"/>
  <c r="O52" i="2"/>
  <c r="P32" i="2"/>
  <c r="I12" i="2"/>
  <c r="D73" i="1"/>
  <c r="O72" i="1"/>
  <c r="Q71" i="1"/>
  <c r="Q11" i="2" s="1"/>
  <c r="G54" i="2"/>
  <c r="D54" i="4"/>
  <c r="H34" i="2"/>
  <c r="F53" i="2"/>
  <c r="D54" i="1"/>
  <c r="H13" i="2"/>
  <c r="N51" i="2"/>
  <c r="P11" i="2"/>
  <c r="Q11" i="1"/>
  <c r="N11" i="2" s="1"/>
  <c r="O12" i="1"/>
  <c r="F33" i="2"/>
  <c r="G13" i="2"/>
  <c r="D34" i="1"/>
  <c r="R92" i="4" l="1"/>
  <c r="Q53" i="2" s="1"/>
  <c r="N93" i="4"/>
  <c r="N71" i="4"/>
  <c r="R70" i="4"/>
  <c r="Q31" i="2" s="1"/>
  <c r="N160" i="4"/>
  <c r="R159" i="4"/>
  <c r="M162" i="4"/>
  <c r="P161" i="4"/>
  <c r="O162" i="1"/>
  <c r="Q161" i="1"/>
  <c r="O13" i="1"/>
  <c r="Q12" i="1"/>
  <c r="N12" i="2" s="1"/>
  <c r="G55" i="2"/>
  <c r="D55" i="4"/>
  <c r="H35" i="2"/>
  <c r="D74" i="1"/>
  <c r="I13" i="2"/>
  <c r="D14" i="1"/>
  <c r="F13" i="2"/>
  <c r="N31" i="2"/>
  <c r="O11" i="2"/>
  <c r="N52" i="2"/>
  <c r="P12" i="2"/>
  <c r="D37" i="4"/>
  <c r="G37" i="2"/>
  <c r="O53" i="2"/>
  <c r="P33" i="2"/>
  <c r="O95" i="1"/>
  <c r="Q94" i="1"/>
  <c r="O116" i="1"/>
  <c r="Q115" i="1"/>
  <c r="F34" i="2"/>
  <c r="G14" i="2"/>
  <c r="D35" i="1"/>
  <c r="F54" i="2"/>
  <c r="H14" i="2"/>
  <c r="D55" i="1"/>
  <c r="O73" i="1"/>
  <c r="Q72" i="1"/>
  <c r="Q12" i="2" s="1"/>
  <c r="O32" i="4"/>
  <c r="O33" i="2" s="1"/>
  <c r="M33" i="4"/>
  <c r="R135" i="4"/>
  <c r="N136" i="4"/>
  <c r="P134" i="4"/>
  <c r="M135" i="4"/>
  <c r="O33" i="1"/>
  <c r="Q32" i="1"/>
  <c r="M95" i="4"/>
  <c r="P94" i="4"/>
  <c r="M115" i="4"/>
  <c r="P114" i="4"/>
  <c r="I56" i="2"/>
  <c r="D96" i="4"/>
  <c r="Q53" i="1"/>
  <c r="O54" i="1"/>
  <c r="H55" i="2"/>
  <c r="D75" i="4"/>
  <c r="I35" i="2"/>
  <c r="M13" i="4"/>
  <c r="O12" i="4"/>
  <c r="M54" i="4"/>
  <c r="O53" i="4"/>
  <c r="N113" i="4"/>
  <c r="R112" i="4"/>
  <c r="O135" i="1"/>
  <c r="Q134" i="1"/>
  <c r="M73" i="4"/>
  <c r="P72" i="4"/>
  <c r="N94" i="4" l="1"/>
  <c r="R93" i="4"/>
  <c r="Q54" i="2" s="1"/>
  <c r="N72" i="4"/>
  <c r="R71" i="4"/>
  <c r="Q32" i="2" s="1"/>
  <c r="M163" i="4"/>
  <c r="P162" i="4"/>
  <c r="R160" i="4"/>
  <c r="N161" i="4"/>
  <c r="Q162" i="1"/>
  <c r="O163" i="1"/>
  <c r="O54" i="2"/>
  <c r="P34" i="2"/>
  <c r="N53" i="2"/>
  <c r="P13" i="2"/>
  <c r="M96" i="4"/>
  <c r="P95" i="4"/>
  <c r="O34" i="1"/>
  <c r="Q33" i="1"/>
  <c r="O74" i="1"/>
  <c r="Q73" i="1"/>
  <c r="Q13" i="2" s="1"/>
  <c r="F35" i="2"/>
  <c r="G15" i="2"/>
  <c r="D36" i="1"/>
  <c r="O117" i="1"/>
  <c r="Q116" i="1"/>
  <c r="O96" i="1"/>
  <c r="Q95" i="1"/>
  <c r="D38" i="4"/>
  <c r="G38" i="2"/>
  <c r="F14" i="2"/>
  <c r="D15" i="1"/>
  <c r="D75" i="1"/>
  <c r="I14" i="2"/>
  <c r="G56" i="2"/>
  <c r="D56" i="4"/>
  <c r="H36" i="2"/>
  <c r="P73" i="4"/>
  <c r="M74" i="4"/>
  <c r="Q135" i="1"/>
  <c r="O136" i="1"/>
  <c r="R113" i="4"/>
  <c r="N114" i="4"/>
  <c r="O54" i="4"/>
  <c r="M55" i="4"/>
  <c r="O13" i="4"/>
  <c r="M14" i="4"/>
  <c r="H56" i="2"/>
  <c r="D76" i="4"/>
  <c r="I36" i="2"/>
  <c r="O55" i="1"/>
  <c r="Q54" i="1"/>
  <c r="D97" i="4"/>
  <c r="I57" i="2"/>
  <c r="M116" i="4"/>
  <c r="P115" i="4"/>
  <c r="O12" i="2"/>
  <c r="N32" i="2"/>
  <c r="M136" i="4"/>
  <c r="P135" i="4"/>
  <c r="N137" i="4"/>
  <c r="R136" i="4"/>
  <c r="M34" i="4"/>
  <c r="O33" i="4"/>
  <c r="O34" i="2" s="1"/>
  <c r="F55" i="2"/>
  <c r="D56" i="1"/>
  <c r="H15" i="2"/>
  <c r="Q13" i="1"/>
  <c r="N13" i="2" s="1"/>
  <c r="O14" i="1"/>
  <c r="N73" i="4" l="1"/>
  <c r="R72" i="4"/>
  <c r="Q33" i="2" s="1"/>
  <c r="N95" i="4"/>
  <c r="R94" i="4"/>
  <c r="Q55" i="2" s="1"/>
  <c r="N162" i="4"/>
  <c r="R161" i="4"/>
  <c r="M164" i="4"/>
  <c r="P163" i="4"/>
  <c r="O164" i="1"/>
  <c r="Q163" i="1"/>
  <c r="O15" i="1"/>
  <c r="Q14" i="1"/>
  <c r="N14" i="2" s="1"/>
  <c r="O34" i="4"/>
  <c r="O35" i="2" s="1"/>
  <c r="M35" i="4"/>
  <c r="R137" i="4"/>
  <c r="N138" i="4"/>
  <c r="P136" i="4"/>
  <c r="M137" i="4"/>
  <c r="M117" i="4"/>
  <c r="P116" i="4"/>
  <c r="I58" i="2"/>
  <c r="D98" i="4"/>
  <c r="Q55" i="1"/>
  <c r="O56" i="1"/>
  <c r="H57" i="2"/>
  <c r="D77" i="4"/>
  <c r="I37" i="2"/>
  <c r="M15" i="4"/>
  <c r="O14" i="4"/>
  <c r="M56" i="4"/>
  <c r="O55" i="4"/>
  <c r="N115" i="4"/>
  <c r="R114" i="4"/>
  <c r="O137" i="1"/>
  <c r="Q136" i="1"/>
  <c r="M75" i="4"/>
  <c r="P74" i="4"/>
  <c r="I15" i="2"/>
  <c r="D76" i="1"/>
  <c r="D39" i="4"/>
  <c r="G39" i="2"/>
  <c r="O97" i="1"/>
  <c r="Q96" i="1"/>
  <c r="O118" i="1"/>
  <c r="Q117" i="1"/>
  <c r="N33" i="2"/>
  <c r="O13" i="2"/>
  <c r="F56" i="2"/>
  <c r="H16" i="2"/>
  <c r="D57" i="1"/>
  <c r="N54" i="2"/>
  <c r="P14" i="2"/>
  <c r="O55" i="2"/>
  <c r="P35" i="2"/>
  <c r="G57" i="2"/>
  <c r="D57" i="4"/>
  <c r="H37" i="2"/>
  <c r="D16" i="1"/>
  <c r="F15" i="2"/>
  <c r="F36" i="2"/>
  <c r="G16" i="2"/>
  <c r="D37" i="1"/>
  <c r="Q74" i="1"/>
  <c r="Q14" i="2" s="1"/>
  <c r="O75" i="1"/>
  <c r="O35" i="1"/>
  <c r="Q34" i="1"/>
  <c r="M97" i="4"/>
  <c r="P96" i="4"/>
  <c r="R95" i="4" l="1"/>
  <c r="Q56" i="2" s="1"/>
  <c r="N96" i="4"/>
  <c r="R73" i="4"/>
  <c r="Q34" i="2" s="1"/>
  <c r="N74" i="4"/>
  <c r="M165" i="4"/>
  <c r="P164" i="4"/>
  <c r="R162" i="4"/>
  <c r="N163" i="4"/>
  <c r="Q164" i="1"/>
  <c r="O165" i="1"/>
  <c r="M98" i="4"/>
  <c r="P97" i="4"/>
  <c r="O36" i="1"/>
  <c r="Q35" i="1"/>
  <c r="D77" i="1"/>
  <c r="I16" i="2"/>
  <c r="O56" i="2"/>
  <c r="P36" i="2"/>
  <c r="N55" i="2"/>
  <c r="P15" i="2"/>
  <c r="M138" i="4"/>
  <c r="P137" i="4"/>
  <c r="N139" i="4"/>
  <c r="R138" i="4"/>
  <c r="M36" i="4"/>
  <c r="O35" i="4"/>
  <c r="O36" i="2" s="1"/>
  <c r="N34" i="2"/>
  <c r="O14" i="2"/>
  <c r="Q75" i="1"/>
  <c r="Q15" i="2" s="1"/>
  <c r="O76" i="1"/>
  <c r="F37" i="2"/>
  <c r="G17" i="2"/>
  <c r="D38" i="1"/>
  <c r="F16" i="2"/>
  <c r="D17" i="1"/>
  <c r="G58" i="2"/>
  <c r="D58" i="4"/>
  <c r="H38" i="2"/>
  <c r="F57" i="2"/>
  <c r="D58" i="1"/>
  <c r="H17" i="2"/>
  <c r="O119" i="1"/>
  <c r="Q118" i="1"/>
  <c r="O98" i="1"/>
  <c r="Q97" i="1"/>
  <c r="D40" i="4"/>
  <c r="G41" i="2" s="1"/>
  <c r="G40" i="2"/>
  <c r="P75" i="4"/>
  <c r="M76" i="4"/>
  <c r="Q137" i="1"/>
  <c r="O138" i="1"/>
  <c r="R115" i="4"/>
  <c r="N116" i="4"/>
  <c r="M57" i="4"/>
  <c r="O56" i="4"/>
  <c r="O15" i="4"/>
  <c r="M16" i="4"/>
  <c r="H58" i="2"/>
  <c r="D78" i="4"/>
  <c r="I38" i="2"/>
  <c r="O57" i="1"/>
  <c r="Q56" i="1"/>
  <c r="D99" i="4"/>
  <c r="I59" i="2"/>
  <c r="M118" i="4"/>
  <c r="P117" i="4"/>
  <c r="Q15" i="1"/>
  <c r="N15" i="2" s="1"/>
  <c r="O16" i="1"/>
  <c r="R74" i="4" l="1"/>
  <c r="Q35" i="2" s="1"/>
  <c r="N75" i="4"/>
  <c r="R96" i="4"/>
  <c r="Q57" i="2" s="1"/>
  <c r="N97" i="4"/>
  <c r="N164" i="4"/>
  <c r="R163" i="4"/>
  <c r="M166" i="4"/>
  <c r="P165" i="4"/>
  <c r="O166" i="1"/>
  <c r="Q166" i="1" s="1"/>
  <c r="Q165" i="1"/>
  <c r="O17" i="1"/>
  <c r="Q16" i="1"/>
  <c r="N16" i="2" s="1"/>
  <c r="N56" i="2"/>
  <c r="P16" i="2"/>
  <c r="M58" i="4"/>
  <c r="O57" i="4"/>
  <c r="O99" i="1"/>
  <c r="Q98" i="1"/>
  <c r="O120" i="1"/>
  <c r="Q120" i="1" s="1"/>
  <c r="Q119" i="1"/>
  <c r="F58" i="2"/>
  <c r="H18" i="2"/>
  <c r="D59" i="1"/>
  <c r="Q76" i="1"/>
  <c r="Q16" i="2" s="1"/>
  <c r="O77" i="1"/>
  <c r="N35" i="2"/>
  <c r="O15" i="2"/>
  <c r="M119" i="4"/>
  <c r="P118" i="4"/>
  <c r="I60" i="2"/>
  <c r="D100" i="4"/>
  <c r="I61" i="2" s="1"/>
  <c r="Q57" i="1"/>
  <c r="O58" i="1"/>
  <c r="H59" i="2"/>
  <c r="D79" i="4"/>
  <c r="I39" i="2"/>
  <c r="M17" i="4"/>
  <c r="O16" i="4"/>
  <c r="O57" i="2"/>
  <c r="P37" i="2"/>
  <c r="N117" i="4"/>
  <c r="R116" i="4"/>
  <c r="O139" i="1"/>
  <c r="Q138" i="1"/>
  <c r="M77" i="4"/>
  <c r="P76" i="4"/>
  <c r="G59" i="2"/>
  <c r="D59" i="4"/>
  <c r="H39" i="2"/>
  <c r="D18" i="1"/>
  <c r="F17" i="2"/>
  <c r="F38" i="2"/>
  <c r="G18" i="2"/>
  <c r="D39" i="1"/>
  <c r="M37" i="4"/>
  <c r="O36" i="4"/>
  <c r="O37" i="2" s="1"/>
  <c r="R139" i="4"/>
  <c r="N140" i="4"/>
  <c r="R140" i="4" s="1"/>
  <c r="P138" i="4"/>
  <c r="M139" i="4"/>
  <c r="D78" i="1"/>
  <c r="I17" i="2"/>
  <c r="O37" i="1"/>
  <c r="Q36" i="1"/>
  <c r="M99" i="4"/>
  <c r="P98" i="4"/>
  <c r="R97" i="4" l="1"/>
  <c r="Q58" i="2" s="1"/>
  <c r="N98" i="4"/>
  <c r="N76" i="4"/>
  <c r="R75" i="4"/>
  <c r="Q36" i="2" s="1"/>
  <c r="P166" i="4"/>
  <c r="M168" i="4"/>
  <c r="R164" i="4"/>
  <c r="N165" i="4"/>
  <c r="N36" i="2"/>
  <c r="O16" i="2"/>
  <c r="M140" i="4"/>
  <c r="P139" i="4"/>
  <c r="F39" i="2"/>
  <c r="G19" i="2"/>
  <c r="D40" i="1"/>
  <c r="F18" i="2"/>
  <c r="D19" i="1"/>
  <c r="G60" i="2"/>
  <c r="D60" i="4"/>
  <c r="H40" i="2"/>
  <c r="N57" i="2"/>
  <c r="P17" i="2"/>
  <c r="Q77" i="1"/>
  <c r="Q17" i="2" s="1"/>
  <c r="O78" i="1"/>
  <c r="F59" i="2"/>
  <c r="D60" i="1"/>
  <c r="H19" i="2"/>
  <c r="O100" i="1"/>
  <c r="Q100" i="1" s="1"/>
  <c r="Q99" i="1"/>
  <c r="O58" i="2"/>
  <c r="P38" i="2"/>
  <c r="M100" i="4"/>
  <c r="P99" i="4"/>
  <c r="O38" i="1"/>
  <c r="Q37" i="1"/>
  <c r="D79" i="1"/>
  <c r="I18" i="2"/>
  <c r="M38" i="4"/>
  <c r="O37" i="4"/>
  <c r="O38" i="2" s="1"/>
  <c r="P77" i="4"/>
  <c r="M78" i="4"/>
  <c r="Q139" i="1"/>
  <c r="O140" i="1"/>
  <c r="Q140" i="1" s="1"/>
  <c r="R117" i="4"/>
  <c r="N118" i="4"/>
  <c r="O17" i="4"/>
  <c r="M18" i="4"/>
  <c r="H60" i="2"/>
  <c r="D80" i="4"/>
  <c r="I40" i="2"/>
  <c r="O59" i="1"/>
  <c r="Q58" i="1"/>
  <c r="M120" i="4"/>
  <c r="P119" i="4"/>
  <c r="O145" i="1"/>
  <c r="O58" i="4"/>
  <c r="M59" i="4"/>
  <c r="Q17" i="1"/>
  <c r="N17" i="2" s="1"/>
  <c r="O18" i="1"/>
  <c r="N99" i="4" l="1"/>
  <c r="R98" i="4"/>
  <c r="Q59" i="2" s="1"/>
  <c r="R76" i="4"/>
  <c r="Q37" i="2" s="1"/>
  <c r="N77" i="4"/>
  <c r="N166" i="4"/>
  <c r="R166" i="4" s="1"/>
  <c r="R165" i="4"/>
  <c r="O59" i="2"/>
  <c r="P39" i="2"/>
  <c r="N58" i="2"/>
  <c r="P18" i="2"/>
  <c r="M39" i="4"/>
  <c r="O38" i="4"/>
  <c r="O39" i="2" s="1"/>
  <c r="I19" i="2"/>
  <c r="D80" i="1"/>
  <c r="I20" i="2" s="1"/>
  <c r="O39" i="1"/>
  <c r="Q38" i="1"/>
  <c r="P100" i="4"/>
  <c r="M102" i="4"/>
  <c r="F60" i="2"/>
  <c r="H20" i="2"/>
  <c r="Q78" i="1"/>
  <c r="Q18" i="2" s="1"/>
  <c r="O79" i="1"/>
  <c r="O19" i="1"/>
  <c r="Q18" i="1"/>
  <c r="N18" i="2" s="1"/>
  <c r="M60" i="4"/>
  <c r="O60" i="4" s="1"/>
  <c r="O59" i="4"/>
  <c r="P120" i="4"/>
  <c r="M122" i="4"/>
  <c r="Q59" i="1"/>
  <c r="O60" i="1"/>
  <c r="Q60" i="1" s="1"/>
  <c r="H61" i="2"/>
  <c r="I41" i="2"/>
  <c r="M19" i="4"/>
  <c r="O18" i="4"/>
  <c r="N119" i="4"/>
  <c r="R118" i="4"/>
  <c r="M79" i="4"/>
  <c r="P78" i="4"/>
  <c r="N37" i="2"/>
  <c r="O17" i="2"/>
  <c r="G61" i="2"/>
  <c r="H41" i="2"/>
  <c r="D20" i="1"/>
  <c r="F20" i="2" s="1"/>
  <c r="F19" i="2"/>
  <c r="F40" i="2"/>
  <c r="G20" i="2"/>
  <c r="P140" i="4"/>
  <c r="M142" i="4"/>
  <c r="N78" i="4" l="1"/>
  <c r="R77" i="4"/>
  <c r="Q38" i="2" s="1"/>
  <c r="R99" i="4"/>
  <c r="Q60" i="2" s="1"/>
  <c r="N100" i="4"/>
  <c r="R100" i="4" s="1"/>
  <c r="Q61" i="2" s="1"/>
  <c r="N60" i="2"/>
  <c r="P20" i="2"/>
  <c r="O60" i="2"/>
  <c r="P40" i="2"/>
  <c r="Q79" i="1"/>
  <c r="Q19" i="2" s="1"/>
  <c r="O80" i="1"/>
  <c r="Q80" i="1" s="1"/>
  <c r="Q20" i="2" s="1"/>
  <c r="O144" i="1"/>
  <c r="O146" i="1" s="1"/>
  <c r="O40" i="1"/>
  <c r="Q40" i="1" s="1"/>
  <c r="Q39" i="1"/>
  <c r="P79" i="4"/>
  <c r="M80" i="4"/>
  <c r="P80" i="4" s="1"/>
  <c r="R119" i="4"/>
  <c r="N120" i="4"/>
  <c r="R120" i="4" s="1"/>
  <c r="O19" i="4"/>
  <c r="M20" i="4"/>
  <c r="O20" i="4" s="1"/>
  <c r="N59" i="2"/>
  <c r="P19" i="2"/>
  <c r="O61" i="2"/>
  <c r="P41" i="2"/>
  <c r="Q19" i="1"/>
  <c r="N19" i="2" s="1"/>
  <c r="O20" i="1"/>
  <c r="Q20" i="1" s="1"/>
  <c r="N20" i="2" s="1"/>
  <c r="N38" i="2"/>
  <c r="O18" i="2"/>
  <c r="M40" i="4"/>
  <c r="O40" i="4" s="1"/>
  <c r="O41" i="2" s="1"/>
  <c r="O39" i="4"/>
  <c r="O40" i="2" s="1"/>
  <c r="R78" i="4" l="1"/>
  <c r="Q39" i="2" s="1"/>
  <c r="N79" i="4"/>
  <c r="N40" i="2"/>
  <c r="O20" i="2"/>
  <c r="N39" i="2"/>
  <c r="O19" i="2"/>
  <c r="R79" i="4" l="1"/>
  <c r="Q40" i="2" s="1"/>
  <c r="N80" i="4"/>
  <c r="R80" i="4" s="1"/>
  <c r="Q41" i="2" s="1"/>
</calcChain>
</file>

<file path=xl/comments1.xml><?xml version="1.0" encoding="utf-8"?>
<comments xmlns="http://schemas.openxmlformats.org/spreadsheetml/2006/main">
  <authors>
    <author>Ray Rivard (6059)</author>
    <author>R</author>
  </authors>
  <commentList>
    <comment ref="B158" authorId="0">
      <text>
        <r>
          <rPr>
            <sz val="10"/>
            <color indexed="81"/>
            <rFont val="Tahoma"/>
            <family val="2"/>
          </rPr>
          <t xml:space="preserve">ESTIMATE
</t>
        </r>
      </text>
    </comment>
    <comment ref="B159" authorId="1">
      <text>
        <r>
          <rPr>
            <b/>
            <sz val="10"/>
            <color indexed="81"/>
            <rFont val="Tahoma"/>
            <family val="2"/>
          </rPr>
          <t>R:</t>
        </r>
        <r>
          <rPr>
            <sz val="10"/>
            <color indexed="81"/>
            <rFont val="Tahoma"/>
            <family val="2"/>
          </rPr>
          <t xml:space="preserve">
ADDED 11,371.2 TO ADJUST JULY EST</t>
        </r>
      </text>
    </comment>
  </commentList>
</comments>
</file>

<file path=xl/comments2.xml><?xml version="1.0" encoding="utf-8"?>
<comments xmlns="http://schemas.openxmlformats.org/spreadsheetml/2006/main">
  <authors>
    <author>RR</author>
  </authors>
  <commentList>
    <comment ref="A177" authorId="0">
      <text>
        <r>
          <rPr>
            <sz val="10"/>
            <color indexed="81"/>
            <rFont val="Tahoma"/>
            <family val="2"/>
          </rPr>
          <t xml:space="preserve">INCL APR&amp;MAY
</t>
        </r>
      </text>
    </comment>
  </commentList>
</comments>
</file>

<file path=xl/sharedStrings.xml><?xml version="1.0" encoding="utf-8"?>
<sst xmlns="http://schemas.openxmlformats.org/spreadsheetml/2006/main" count="1481" uniqueCount="156">
  <si>
    <t>Timmins and District Hospital</t>
  </si>
  <si>
    <t>Heating &amp; Hydro Cost Review</t>
  </si>
  <si>
    <t>2005/06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</si>
  <si>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</si>
  <si>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</si>
  <si>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</si>
  <si>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</si>
  <si>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</si>
  <si>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</si>
  <si>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</si>
  <si>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</si>
  <si>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</si>
  <si>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</si>
  <si>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</si>
  <si>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</si>
  <si>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CuM</t>
  </si>
  <si>
    <t>UG Chg</t>
  </si>
  <si>
    <t>UG GST</t>
  </si>
  <si>
    <t>Com Chg</t>
  </si>
  <si>
    <t>Com GST</t>
  </si>
  <si>
    <t>Com Adj</t>
  </si>
  <si>
    <t>Total</t>
  </si>
  <si>
    <t>Charge</t>
  </si>
  <si>
    <t>Net</t>
  </si>
  <si>
    <t>Totals</t>
  </si>
  <si>
    <t>Cost per</t>
  </si>
  <si>
    <t>2006/07</t>
  </si>
  <si>
    <t>2007/08</t>
  </si>
  <si>
    <t>Cost/GJ</t>
  </si>
  <si>
    <t>2008/09</t>
  </si>
  <si>
    <t>Cumulative</t>
  </si>
  <si>
    <t xml:space="preserve"> </t>
  </si>
  <si>
    <t>Cum</t>
  </si>
  <si>
    <t>Cost/CuM</t>
  </si>
  <si>
    <t>Cost</t>
  </si>
  <si>
    <t>Heating Cost Summary</t>
  </si>
  <si>
    <t>Month</t>
  </si>
  <si>
    <t>per CuM</t>
  </si>
  <si>
    <t>KwH</t>
  </si>
  <si>
    <t>HO Chg</t>
  </si>
  <si>
    <t>HO GST</t>
  </si>
  <si>
    <t>Cost/KwH</t>
  </si>
  <si>
    <t>Hydro Cost Summary</t>
  </si>
  <si>
    <t>per KwH</t>
  </si>
  <si>
    <t>%</t>
  </si>
  <si>
    <t>Electricty</t>
  </si>
  <si>
    <t>Delivery</t>
  </si>
  <si>
    <t>&amp; Other</t>
  </si>
  <si>
    <t>Debt</t>
  </si>
  <si>
    <t>Retirement</t>
  </si>
  <si>
    <t>Total Cost</t>
  </si>
  <si>
    <t>Total Cum</t>
  </si>
  <si>
    <t>Elect Cost</t>
  </si>
  <si>
    <t>Cum Elect</t>
  </si>
  <si>
    <t>Net Cost</t>
  </si>
  <si>
    <t>Rebate/</t>
  </si>
  <si>
    <t>Allowance</t>
  </si>
  <si>
    <t>2009/10</t>
  </si>
  <si>
    <t>UNION GAS</t>
  </si>
  <si>
    <t>COMSATEC</t>
  </si>
  <si>
    <t>ADJ</t>
  </si>
  <si>
    <t>2010/11</t>
  </si>
  <si>
    <t>UG HST</t>
  </si>
  <si>
    <t>Com HST</t>
  </si>
  <si>
    <t>KWH</t>
  </si>
  <si>
    <t>Electricity Charge</t>
  </si>
  <si>
    <t>Electricity Rate</t>
  </si>
  <si>
    <t>Prov Bft Charge</t>
  </si>
  <si>
    <t>Prov Bft Rate</t>
  </si>
  <si>
    <t>Delivery Charge</t>
  </si>
  <si>
    <t>Delivery Rate</t>
  </si>
  <si>
    <t>Regulatory Charges</t>
  </si>
  <si>
    <t>Regulatory Rate</t>
  </si>
  <si>
    <t>Debt Retirement Charge</t>
  </si>
  <si>
    <t>Debt Retirement Rate</t>
  </si>
  <si>
    <t>Other Charges</t>
  </si>
  <si>
    <t>Taxes</t>
  </si>
  <si>
    <t>Total Charges</t>
  </si>
  <si>
    <t>6-month YTD</t>
  </si>
  <si>
    <t>9-month YTD</t>
  </si>
  <si>
    <t>Electricity Rates</t>
  </si>
  <si>
    <t>Electricity</t>
  </si>
  <si>
    <t>Provincial Benefit</t>
  </si>
  <si>
    <t>Debt Retirement</t>
  </si>
  <si>
    <t>Regulatory</t>
  </si>
  <si>
    <t>Average 6-Month Rate to September 30 (in cents per kilowatt hour)</t>
  </si>
  <si>
    <t>(Excluding Rebates and Taxes)</t>
  </si>
  <si>
    <t>Rebates ($$$)</t>
  </si>
  <si>
    <t>Taxes ($$$)</t>
  </si>
  <si>
    <t>1-Year Change</t>
  </si>
  <si>
    <t>www.ieso.ca</t>
  </si>
  <si>
    <t>Energy Retrofit Review</t>
  </si>
  <si>
    <t xml:space="preserve">   Baseline (Calendar 2007)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</si>
  <si>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</si>
  <si>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</si>
  <si>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</si>
  <si>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</si>
  <si>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</si>
  <si>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</si>
  <si>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</si>
  <si>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</si>
  <si>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</si>
  <si>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</si>
  <si>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</si>
  <si>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 xml:space="preserve">   </t>
  </si>
  <si>
    <t xml:space="preserve">   Adjusted Baseline (2010/11)</t>
  </si>
  <si>
    <t>Natural Gas</t>
  </si>
  <si>
    <t>ELECTRICITY</t>
  </si>
  <si>
    <t>BASELINE YEAR - 2007</t>
  </si>
  <si>
    <t>kwH</t>
  </si>
  <si>
    <t>Unit Cost</t>
  </si>
  <si>
    <t>YEAR 1 TARGETS</t>
  </si>
  <si>
    <t>YEAR 1 ADJUSTED BASELINE</t>
  </si>
  <si>
    <t>YEAR 1 ACTUAL</t>
  </si>
  <si>
    <t>1</t>
  </si>
  <si>
    <t>NATURAL GAS</t>
  </si>
  <si>
    <t>Cubic Metres</t>
  </si>
  <si>
    <t>COMBINED</t>
  </si>
  <si>
    <t xml:space="preserve">   Target Consumption (Note 1)</t>
  </si>
  <si>
    <t xml:space="preserve">   Target Consumption Adjusted for Degree Days, Etc.</t>
  </si>
  <si>
    <t xml:space="preserve">   Actual Consumption (2010/11)</t>
  </si>
  <si>
    <t xml:space="preserve">   % of Target Achieved</t>
  </si>
  <si>
    <t>NOTE 1 - BASED ON REDUCTIONS FROM RETROFIT</t>
  </si>
  <si>
    <t>TOT CONS</t>
  </si>
  <si>
    <t>2011/12</t>
  </si>
  <si>
    <t>JAN10-DEC10</t>
  </si>
  <si>
    <t>JAN09-DEC09</t>
  </si>
  <si>
    <t>APR-JUN09</t>
  </si>
  <si>
    <t>APR-JUN10</t>
  </si>
  <si>
    <t>INCR(DECR)</t>
  </si>
  <si>
    <t>Fiscal Year Billing Quarter</t>
  </si>
  <si>
    <t>Q3</t>
  </si>
  <si>
    <t>Fiscal Year Billing Year</t>
  </si>
  <si>
    <t>Fiscal Year Payment Year</t>
  </si>
  <si>
    <t>Payment Date</t>
  </si>
  <si>
    <t>Current Reading Date</t>
  </si>
  <si>
    <t>Previous Reading Date</t>
  </si>
  <si>
    <t>Billing Days</t>
  </si>
  <si>
    <t>Gallons of Consumption</t>
  </si>
  <si>
    <t>Cost/Gallon</t>
  </si>
  <si>
    <t>Gallons/Day</t>
  </si>
  <si>
    <t>Q2</t>
  </si>
  <si>
    <t>Fiscal Year Billing Period</t>
  </si>
  <si>
    <t>Jul - Sep</t>
  </si>
  <si>
    <t>Oct - Dec</t>
  </si>
  <si>
    <t>Q1</t>
  </si>
  <si>
    <t>Apr - Jun</t>
  </si>
  <si>
    <t>Q4</t>
  </si>
  <si>
    <t>Jan - Mar</t>
  </si>
  <si>
    <t>I M3(CUBIC METER)=37.6 GJ(GIGAJULES)</t>
  </si>
  <si>
    <t>2012/13</t>
  </si>
  <si>
    <t>2013/14</t>
  </si>
  <si>
    <t>&amp; Regulatory</t>
  </si>
  <si>
    <t>2014/15</t>
  </si>
  <si>
    <t>2014-15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</si>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</sst>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_(* #,##0_);_(* \(#,##0\);_(* &quot;-&quot;??_);_(@_)"/>
    <numFmt numFmtId="166" formatCode="_(* #,##0.0000_);_(* \(#,##0.0000\);_(* &quot;-&quot;??_);_(@_)"/>
    <numFmt numFmtId="167" formatCode="0.0000"/>
    <numFmt numFmtId="168" formatCode="[$-1009]d\-mmm\-yy;@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quotePrefix="1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/>
    <xf numFmtId="0" fontId="0" fillId="0" borderId="4" xfId="0" applyBorder="1"/>
    <xf numFmtId="44" fontId="0" fillId="0" borderId="4" xfId="2" applyFont="1" applyBorder="1"/>
    <xf numFmtId="44" fontId="0" fillId="0" borderId="4" xfId="0" applyNumberFormat="1" applyBorder="1"/>
    <xf numFmtId="10" fontId="0" fillId="0" borderId="0" xfId="4" applyNumberFormat="1" applyFont="1"/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10" fontId="0" fillId="0" borderId="0" xfId="4" applyNumberFormat="1" applyFont="1" applyBorder="1"/>
    <xf numFmtId="43" fontId="0" fillId="0" borderId="0" xfId="1" applyFont="1" applyBorder="1"/>
    <xf numFmtId="43" fontId="0" fillId="0" borderId="8" xfId="1" applyFont="1" applyBorder="1"/>
    <xf numFmtId="0" fontId="0" fillId="0" borderId="9" xfId="0" applyBorder="1"/>
    <xf numFmtId="10" fontId="0" fillId="0" borderId="10" xfId="4" applyNumberFormat="1" applyFont="1" applyBorder="1"/>
    <xf numFmtId="0" fontId="0" fillId="0" borderId="10" xfId="0" applyBorder="1"/>
    <xf numFmtId="43" fontId="0" fillId="0" borderId="10" xfId="1" applyFont="1" applyBorder="1"/>
    <xf numFmtId="43" fontId="0" fillId="0" borderId="11" xfId="1" applyFont="1" applyBorder="1"/>
    <xf numFmtId="0" fontId="4" fillId="0" borderId="12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15" xfId="0" applyNumberFormat="1" applyBorder="1" applyAlignment="1">
      <alignment horizontal="center"/>
    </xf>
    <xf numFmtId="7" fontId="0" fillId="0" borderId="7" xfId="0" applyNumberFormat="1" applyBorder="1" applyAlignment="1">
      <alignment horizontal="center"/>
    </xf>
    <xf numFmtId="7" fontId="0" fillId="0" borderId="0" xfId="1" applyNumberFormat="1" applyFont="1" applyAlignment="1">
      <alignment horizontal="center"/>
    </xf>
    <xf numFmtId="7" fontId="0" fillId="0" borderId="0" xfId="2" applyNumberFormat="1" applyFont="1" applyAlignment="1">
      <alignment horizontal="center"/>
    </xf>
    <xf numFmtId="7" fontId="4" fillId="0" borderId="12" xfId="0" applyNumberFormat="1" applyFont="1" applyBorder="1" applyAlignment="1">
      <alignment horizontal="center"/>
    </xf>
    <xf numFmtId="7" fontId="0" fillId="0" borderId="7" xfId="2" applyNumberFormat="1" applyFont="1" applyBorder="1" applyAlignment="1">
      <alignment horizontal="center"/>
    </xf>
    <xf numFmtId="7" fontId="0" fillId="0" borderId="7" xfId="1" applyNumberFormat="1" applyFont="1" applyBorder="1" applyAlignment="1">
      <alignment horizontal="center"/>
    </xf>
    <xf numFmtId="7" fontId="0" fillId="0" borderId="9" xfId="1" applyNumberFormat="1" applyFont="1" applyBorder="1" applyAlignment="1">
      <alignment horizontal="center"/>
    </xf>
    <xf numFmtId="7" fontId="0" fillId="0" borderId="0" xfId="0" applyNumberFormat="1" applyBorder="1" applyAlignment="1">
      <alignment horizontal="center"/>
    </xf>
    <xf numFmtId="7" fontId="0" fillId="0" borderId="0" xfId="1" applyNumberFormat="1" applyFont="1" applyBorder="1" applyAlignment="1">
      <alignment horizontal="center"/>
    </xf>
    <xf numFmtId="7" fontId="0" fillId="0" borderId="0" xfId="2" applyNumberFormat="1" applyFont="1" applyBorder="1" applyAlignment="1">
      <alignment horizontal="center"/>
    </xf>
    <xf numFmtId="7" fontId="4" fillId="0" borderId="0" xfId="0" applyNumberFormat="1" applyFont="1" applyBorder="1" applyAlignment="1">
      <alignment horizontal="center"/>
    </xf>
    <xf numFmtId="37" fontId="0" fillId="0" borderId="0" xfId="0" applyNumberFormat="1" applyAlignment="1">
      <alignment horizontal="center"/>
    </xf>
    <xf numFmtId="7" fontId="1" fillId="0" borderId="0" xfId="1" applyNumberFormat="1" applyAlignment="1">
      <alignment horizontal="center"/>
    </xf>
    <xf numFmtId="5" fontId="1" fillId="0" borderId="0" xfId="1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2" applyNumberFormat="1"/>
    <xf numFmtId="5" fontId="0" fillId="0" borderId="0" xfId="1" applyNumberFormat="1" applyFont="1" applyAlignment="1">
      <alignment horizontal="center"/>
    </xf>
    <xf numFmtId="5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1" applyNumberFormat="1" applyFont="1"/>
    <xf numFmtId="43" fontId="0" fillId="0" borderId="0" xfId="1" applyNumberFormat="1" applyFont="1"/>
    <xf numFmtId="166" fontId="0" fillId="0" borderId="0" xfId="1" applyNumberFormat="1" applyFont="1"/>
    <xf numFmtId="0" fontId="4" fillId="0" borderId="0" xfId="0" applyFont="1"/>
    <xf numFmtId="165" fontId="4" fillId="0" borderId="0" xfId="1" applyNumberFormat="1" applyFont="1"/>
    <xf numFmtId="43" fontId="4" fillId="0" borderId="0" xfId="1" applyNumberFormat="1" applyFont="1"/>
    <xf numFmtId="166" fontId="4" fillId="0" borderId="0" xfId="1" applyNumberFormat="1" applyFont="1"/>
    <xf numFmtId="165" fontId="4" fillId="0" borderId="0" xfId="0" applyNumberFormat="1" applyFont="1"/>
    <xf numFmtId="43" fontId="4" fillId="0" borderId="0" xfId="0" applyNumberFormat="1" applyFont="1"/>
    <xf numFmtId="0" fontId="0" fillId="0" borderId="4" xfId="0" quotePrefix="1" applyBorder="1" applyAlignment="1">
      <alignment horizontal="center"/>
    </xf>
    <xf numFmtId="167" fontId="0" fillId="0" borderId="4" xfId="0" applyNumberFormat="1" applyBorder="1"/>
    <xf numFmtId="165" fontId="0" fillId="0" borderId="4" xfId="0" applyNumberFormat="1" applyBorder="1"/>
    <xf numFmtId="0" fontId="0" fillId="0" borderId="4" xfId="0" applyBorder="1" applyAlignment="1">
      <alignment horizontal="center" wrapText="1"/>
    </xf>
    <xf numFmtId="10" fontId="0" fillId="0" borderId="4" xfId="4" applyNumberFormat="1" applyFont="1" applyBorder="1"/>
    <xf numFmtId="0" fontId="2" fillId="0" borderId="0" xfId="3" applyAlignment="1" applyProtection="1"/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Continuous"/>
    </xf>
    <xf numFmtId="165" fontId="0" fillId="0" borderId="4" xfId="1" applyNumberFormat="1" applyFont="1" applyBorder="1" applyAlignment="1">
      <alignment horizontal="right"/>
    </xf>
    <xf numFmtId="165" fontId="0" fillId="0" borderId="4" xfId="1" applyNumberFormat="1" applyFont="1" applyBorder="1"/>
    <xf numFmtId="0" fontId="3" fillId="0" borderId="7" xfId="0" applyFont="1" applyBorder="1" applyAlignment="1">
      <alignment horizontal="center"/>
    </xf>
    <xf numFmtId="7" fontId="0" fillId="0" borderId="4" xfId="0" applyNumberFormat="1" applyBorder="1"/>
    <xf numFmtId="168" fontId="0" fillId="0" borderId="0" xfId="0" applyNumberFormat="1"/>
    <xf numFmtId="167" fontId="0" fillId="0" borderId="0" xfId="0" applyNumberFormat="1"/>
    <xf numFmtId="0" fontId="0" fillId="0" borderId="5" xfId="0" applyBorder="1"/>
    <xf numFmtId="165" fontId="0" fillId="0" borderId="5" xfId="1" applyNumberFormat="1" applyFont="1" applyBorder="1"/>
    <xf numFmtId="0" fontId="0" fillId="0" borderId="0" xfId="0" applyNumberFormat="1"/>
    <xf numFmtId="0" fontId="0" fillId="0" borderId="0" xfId="0" quotePrefix="1" applyAlignment="1">
      <alignment horizontal="center"/>
    </xf>
    <xf numFmtId="0" fontId="5" fillId="0" borderId="0" xfId="0" applyFont="1"/>
    <xf numFmtId="0" fontId="4" fillId="0" borderId="16" xfId="0" applyFont="1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3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43" fontId="0" fillId="0" borderId="20" xfId="1" applyFont="1" applyBorder="1"/>
    <xf numFmtId="0" fontId="0" fillId="0" borderId="21" xfId="0" applyBorder="1"/>
    <xf numFmtId="10" fontId="0" fillId="0" borderId="22" xfId="4" applyNumberFormat="1" applyFont="1" applyBorder="1"/>
    <xf numFmtId="0" fontId="0" fillId="0" borderId="22" xfId="0" applyBorder="1"/>
    <xf numFmtId="43" fontId="0" fillId="0" borderId="22" xfId="1" applyFont="1" applyBorder="1"/>
    <xf numFmtId="43" fontId="0" fillId="0" borderId="23" xfId="1" applyFont="1" applyBorder="1"/>
    <xf numFmtId="7" fontId="4" fillId="0" borderId="16" xfId="0" applyNumberFormat="1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7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7" fontId="0" fillId="0" borderId="19" xfId="0" applyNumberFormat="1" applyBorder="1" applyAlignment="1">
      <alignment horizontal="center"/>
    </xf>
    <xf numFmtId="7" fontId="0" fillId="0" borderId="19" xfId="2" applyNumberFormat="1" applyFont="1" applyBorder="1" applyAlignment="1">
      <alignment horizontal="center"/>
    </xf>
    <xf numFmtId="7" fontId="0" fillId="0" borderId="19" xfId="1" applyNumberFormat="1" applyFont="1" applyBorder="1" applyAlignment="1">
      <alignment horizontal="center"/>
    </xf>
    <xf numFmtId="7" fontId="0" fillId="0" borderId="21" xfId="1" applyNumberFormat="1" applyFont="1" applyBorder="1" applyAlignment="1">
      <alignment horizontal="center"/>
    </xf>
    <xf numFmtId="165" fontId="1" fillId="0" borderId="0" xfId="1" applyNumberFormat="1" applyFont="1"/>
    <xf numFmtId="43" fontId="1" fillId="0" borderId="0" xfId="1" applyFont="1"/>
    <xf numFmtId="165" fontId="1" fillId="0" borderId="5" xfId="1" applyNumberFormat="1" applyFont="1" applyBorder="1"/>
    <xf numFmtId="0" fontId="1" fillId="0" borderId="0" xfId="0" quotePrefix="1" applyFont="1" applyAlignment="1">
      <alignment horizontal="center"/>
    </xf>
    <xf numFmtId="168" fontId="1" fillId="0" borderId="0" xfId="0" applyNumberFormat="1" applyFont="1"/>
    <xf numFmtId="0" fontId="1" fillId="0" borderId="0" xfId="0" quotePrefix="1" applyFont="1"/>
    <xf numFmtId="43" fontId="1" fillId="0" borderId="5" xfId="1" applyNumberFormat="1" applyFont="1" applyBorder="1"/>
    <xf numFmtId="167" fontId="0" fillId="0" borderId="5" xfId="0" applyNumberFormat="1" applyBorder="1"/>
    <xf numFmtId="37" fontId="0" fillId="0" borderId="4" xfId="0" applyNumberFormat="1" applyBorder="1" applyAlignment="1">
      <alignment horizontal="center"/>
    </xf>
    <xf numFmtId="7" fontId="0" fillId="0" borderId="4" xfId="1" applyNumberFormat="1" applyFont="1" applyBorder="1" applyAlignment="1">
      <alignment horizontal="center"/>
    </xf>
    <xf numFmtId="5" fontId="0" fillId="0" borderId="4" xfId="1" applyNumberFormat="1" applyFont="1" applyBorder="1" applyAlignment="1">
      <alignment horizontal="center"/>
    </xf>
    <xf numFmtId="164" fontId="1" fillId="0" borderId="4" xfId="2" applyNumberFormat="1" applyBorder="1"/>
    <xf numFmtId="0" fontId="8" fillId="0" borderId="19" xfId="0" applyFont="1" applyBorder="1" applyAlignment="1">
      <alignment horizontal="center"/>
    </xf>
    <xf numFmtId="0" fontId="4" fillId="0" borderId="0" xfId="0" quotePrefix="1" applyFont="1"/>
    <xf numFmtId="0" fontId="4" fillId="0" borderId="4" xfId="0" applyFont="1" applyBorder="1"/>
    <xf numFmtId="3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7" fontId="4" fillId="0" borderId="0" xfId="0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5</xdr:col>
      <xdr:colOff>8626</xdr:colOff>
      <xdr:row>35</xdr:row>
      <xdr:rowOff>155275</xdr:rowOff>
    </xdr:to>
    <xdr:pic>
      <xdr:nvPicPr>
        <xdr:cNvPr id="105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3645"/>
          <a:ext cx="5995358" cy="195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ieso.c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Q231"/>
  <sheetViews>
    <sheetView tabSelected="1" zoomScale="80" workbookViewId="0">
      <selection activeCell="K219" sqref="K219"/>
    </sheetView>
  </sheetViews>
  <sheetFormatPr defaultRowHeight="12.75" x14ac:dyDescent="0.2"/>
  <cols>
    <col min="1" max="1" width="11.28515625" customWidth="1"/>
    <col min="2" max="2" width="10.5703125" customWidth="1"/>
    <col min="3" max="3" width="8.85546875" bestFit="1" customWidth="1"/>
    <col min="4" max="4" width="10.5703125" bestFit="1" customWidth="1"/>
    <col min="5" max="5" width="12.28515625" bestFit="1" customWidth="1"/>
    <col min="6" max="6" width="10.7109375" customWidth="1"/>
    <col min="7" max="7" width="11.85546875" customWidth="1"/>
    <col min="8" max="8" width="8" style="37" bestFit="1" customWidth="1"/>
    <col min="9" max="9" width="12.28515625" bestFit="1" customWidth="1"/>
    <col min="10" max="10" width="11.28515625" bestFit="1" customWidth="1"/>
    <col min="11" max="11" width="12" bestFit="1" customWidth="1"/>
    <col min="12" max="13" width="13.85546875" bestFit="1" customWidth="1"/>
    <col min="14" max="15" width="12.28515625" bestFit="1" customWidth="1"/>
    <col min="16" max="17" width="8" style="46" bestFit="1" customWidth="1"/>
    <col min="18" max="18" width="10.7109375" customWidth="1"/>
  </cols>
  <sheetData>
    <row r="1" spans="1:17" x14ac:dyDescent="0.2">
      <c r="A1" t="s">
        <v>0</v>
      </c>
    </row>
    <row r="3" spans="1:17" x14ac:dyDescent="0.2">
      <c r="A3" t="s">
        <v>1</v>
      </c>
    </row>
    <row r="6" spans="1:17" x14ac:dyDescent="0.2">
      <c r="B6" s="3"/>
      <c r="C6" s="3"/>
      <c r="D6" s="3" t="s">
        <v>30</v>
      </c>
      <c r="E6" s="3"/>
      <c r="F6" s="3"/>
      <c r="G6" s="3" t="s">
        <v>21</v>
      </c>
      <c r="I6" s="3"/>
      <c r="J6" s="3"/>
      <c r="K6" s="3"/>
      <c r="L6" s="3" t="s">
        <v>21</v>
      </c>
      <c r="M6" s="3" t="s">
        <v>21</v>
      </c>
      <c r="N6" s="3" t="s">
        <v>23</v>
      </c>
      <c r="O6" s="3" t="s">
        <v>30</v>
      </c>
      <c r="P6" s="46" t="s">
        <v>25</v>
      </c>
      <c r="Q6" s="46" t="s">
        <v>32</v>
      </c>
    </row>
    <row r="7" spans="1:17" x14ac:dyDescent="0.2">
      <c r="A7" s="1" t="s">
        <v>2</v>
      </c>
      <c r="B7" s="3" t="s">
        <v>15</v>
      </c>
      <c r="C7" s="3" t="s">
        <v>44</v>
      </c>
      <c r="D7" s="3" t="s">
        <v>15</v>
      </c>
      <c r="E7" s="3" t="s">
        <v>16</v>
      </c>
      <c r="F7" s="3" t="s">
        <v>17</v>
      </c>
      <c r="G7" s="3" t="s">
        <v>16</v>
      </c>
      <c r="H7" s="37" t="s">
        <v>28</v>
      </c>
      <c r="I7" s="3" t="s">
        <v>18</v>
      </c>
      <c r="J7" s="3" t="s">
        <v>19</v>
      </c>
      <c r="K7" s="3" t="s">
        <v>20</v>
      </c>
      <c r="L7" s="3" t="s">
        <v>18</v>
      </c>
      <c r="M7" s="3" t="s">
        <v>22</v>
      </c>
      <c r="N7" s="3" t="s">
        <v>22</v>
      </c>
      <c r="O7" s="3" t="s">
        <v>34</v>
      </c>
      <c r="P7" s="46" t="s">
        <v>15</v>
      </c>
      <c r="Q7" s="46" t="s">
        <v>33</v>
      </c>
    </row>
    <row r="8" spans="1:17" x14ac:dyDescent="0.2">
      <c r="D8" t="s">
        <v>31</v>
      </c>
    </row>
    <row r="9" spans="1:17" x14ac:dyDescent="0.2">
      <c r="A9" t="s">
        <v>3</v>
      </c>
      <c r="B9">
        <v>200844</v>
      </c>
      <c r="C9" s="15">
        <f>ROUND(B9/$B$22,4)</f>
        <v>8.2000000000000003E-2</v>
      </c>
      <c r="D9">
        <f>+B9</f>
        <v>200844</v>
      </c>
      <c r="E9" s="2">
        <f>5766.7-377.26</f>
        <v>5389.44</v>
      </c>
      <c r="F9" s="2">
        <v>377.26</v>
      </c>
      <c r="G9" s="2">
        <f>+E9+F9</f>
        <v>5766.7</v>
      </c>
      <c r="H9" s="40"/>
      <c r="I9" s="2">
        <v>66843.37</v>
      </c>
      <c r="J9" s="2">
        <v>4679.04</v>
      </c>
      <c r="K9" s="2">
        <v>0</v>
      </c>
      <c r="L9" s="2">
        <f>+I9+J9+K9</f>
        <v>71522.409999999989</v>
      </c>
      <c r="M9" s="2">
        <f>+G9+L9</f>
        <v>77289.109999999986</v>
      </c>
      <c r="N9" s="4">
        <f>+E9+ROUND(F9*0.17,2)+I9+ROUND(J9*0.17,2)</f>
        <v>73092.38</v>
      </c>
      <c r="O9" s="4">
        <f>+N9</f>
        <v>73092.38</v>
      </c>
      <c r="P9" s="47">
        <f>ROUND(N9/B9,2)</f>
        <v>0.36</v>
      </c>
      <c r="Q9" s="47">
        <f>ROUND(O9/D9,2)</f>
        <v>0.36</v>
      </c>
    </row>
    <row r="10" spans="1:17" x14ac:dyDescent="0.2">
      <c r="A10" t="s">
        <v>4</v>
      </c>
      <c r="B10">
        <v>172289</v>
      </c>
      <c r="C10" s="15">
        <f t="shared" ref="C10:C20" si="0">ROUND(B10/$B$22,4)</f>
        <v>7.0300000000000001E-2</v>
      </c>
      <c r="D10">
        <f>+D9+B10</f>
        <v>373133</v>
      </c>
      <c r="E10" s="2">
        <v>5174.07</v>
      </c>
      <c r="F10" s="2">
        <v>362.18</v>
      </c>
      <c r="G10" s="2">
        <f t="shared" ref="G10:G20" si="1">+E10+F10</f>
        <v>5536.25</v>
      </c>
      <c r="H10" s="40"/>
      <c r="I10" s="2">
        <v>47873.87</v>
      </c>
      <c r="J10" s="2">
        <v>3351.17</v>
      </c>
      <c r="K10" s="2"/>
      <c r="L10" s="2">
        <f t="shared" ref="L10:L20" si="2">+I10+J10+K10</f>
        <v>51225.04</v>
      </c>
      <c r="M10" s="2">
        <f t="shared" ref="M10:M20" si="3">+G10+L10</f>
        <v>56761.29</v>
      </c>
      <c r="N10" s="4">
        <f t="shared" ref="N10:N20" si="4">+E10+ROUND(F10*0.17,2)+I10+ROUND(J10*0.17,2)</f>
        <v>53679.21</v>
      </c>
      <c r="O10" s="4">
        <f>+O9+N10</f>
        <v>126771.59</v>
      </c>
      <c r="P10" s="47">
        <f t="shared" ref="P10:P22" si="5">ROUND(N10/B10,2)</f>
        <v>0.31</v>
      </c>
      <c r="Q10" s="47">
        <f t="shared" ref="Q10:Q20" si="6">ROUND(O10/D10,2)</f>
        <v>0.34</v>
      </c>
    </row>
    <row r="11" spans="1:17" x14ac:dyDescent="0.2">
      <c r="A11" t="s">
        <v>5</v>
      </c>
      <c r="B11">
        <v>113995</v>
      </c>
      <c r="C11" s="15">
        <f t="shared" si="0"/>
        <v>4.65E-2</v>
      </c>
      <c r="D11">
        <f t="shared" ref="D11:D20" si="7">+D10+B11</f>
        <v>487128</v>
      </c>
      <c r="E11" s="2">
        <v>5122.4399999999996</v>
      </c>
      <c r="F11" s="2">
        <v>358.57</v>
      </c>
      <c r="G11" s="2">
        <f t="shared" si="1"/>
        <v>5481.0099999999993</v>
      </c>
      <c r="H11" s="40"/>
      <c r="I11" s="2">
        <v>37024.11</v>
      </c>
      <c r="J11" s="2">
        <v>2591.69</v>
      </c>
      <c r="K11" s="2"/>
      <c r="L11" s="2">
        <f t="shared" si="2"/>
        <v>39615.800000000003</v>
      </c>
      <c r="M11" s="2">
        <f t="shared" si="3"/>
        <v>45096.810000000005</v>
      </c>
      <c r="N11" s="4">
        <f t="shared" si="4"/>
        <v>42648.1</v>
      </c>
      <c r="O11" s="4">
        <f t="shared" ref="O11:O20" si="8">+O10+N11</f>
        <v>169419.69</v>
      </c>
      <c r="P11" s="47">
        <f t="shared" si="5"/>
        <v>0.37</v>
      </c>
      <c r="Q11" s="47">
        <f t="shared" si="6"/>
        <v>0.35</v>
      </c>
    </row>
    <row r="12" spans="1:17" x14ac:dyDescent="0.2">
      <c r="A12" t="s">
        <v>6</v>
      </c>
      <c r="B12">
        <v>112634</v>
      </c>
      <c r="C12" s="15">
        <f t="shared" si="0"/>
        <v>4.5999999999999999E-2</v>
      </c>
      <c r="D12">
        <f t="shared" si="7"/>
        <v>599762</v>
      </c>
      <c r="E12" s="2">
        <v>4550.1499999999996</v>
      </c>
      <c r="F12" s="2">
        <v>318.51</v>
      </c>
      <c r="G12" s="2">
        <f t="shared" si="1"/>
        <v>4868.66</v>
      </c>
      <c r="H12" s="40"/>
      <c r="I12" s="2">
        <v>35960.17</v>
      </c>
      <c r="J12" s="2">
        <v>2517.21</v>
      </c>
      <c r="K12" s="2"/>
      <c r="L12" s="2">
        <f t="shared" si="2"/>
        <v>38477.379999999997</v>
      </c>
      <c r="M12" s="2">
        <f t="shared" si="3"/>
        <v>43346.039999999994</v>
      </c>
      <c r="N12" s="4">
        <f t="shared" si="4"/>
        <v>40992.400000000001</v>
      </c>
      <c r="O12" s="4">
        <f t="shared" si="8"/>
        <v>210412.09</v>
      </c>
      <c r="P12" s="47">
        <f t="shared" si="5"/>
        <v>0.36</v>
      </c>
      <c r="Q12" s="47">
        <f t="shared" si="6"/>
        <v>0.35</v>
      </c>
    </row>
    <row r="13" spans="1:17" x14ac:dyDescent="0.2">
      <c r="A13" t="s">
        <v>7</v>
      </c>
      <c r="B13">
        <v>119349</v>
      </c>
      <c r="C13" s="15">
        <f t="shared" si="0"/>
        <v>4.87E-2</v>
      </c>
      <c r="D13">
        <f t="shared" si="7"/>
        <v>719111</v>
      </c>
      <c r="E13" s="2">
        <v>5001.74</v>
      </c>
      <c r="F13" s="2">
        <v>350.12</v>
      </c>
      <c r="G13" s="2">
        <f t="shared" si="1"/>
        <v>5351.86</v>
      </c>
      <c r="H13" s="40"/>
      <c r="I13" s="2">
        <v>44213.34</v>
      </c>
      <c r="J13" s="2">
        <v>3094.93</v>
      </c>
      <c r="K13" s="2"/>
      <c r="L13" s="2">
        <f t="shared" si="2"/>
        <v>47308.27</v>
      </c>
      <c r="M13" s="2">
        <f t="shared" si="3"/>
        <v>52660.13</v>
      </c>
      <c r="N13" s="4">
        <f t="shared" si="4"/>
        <v>49800.74</v>
      </c>
      <c r="O13" s="4">
        <f t="shared" si="8"/>
        <v>260212.83</v>
      </c>
      <c r="P13" s="47">
        <f t="shared" si="5"/>
        <v>0.42</v>
      </c>
      <c r="Q13" s="47">
        <f t="shared" si="6"/>
        <v>0.36</v>
      </c>
    </row>
    <row r="14" spans="1:17" x14ac:dyDescent="0.2">
      <c r="A14" t="s">
        <v>8</v>
      </c>
      <c r="B14">
        <v>130792</v>
      </c>
      <c r="C14" s="15">
        <f t="shared" si="0"/>
        <v>5.3400000000000003E-2</v>
      </c>
      <c r="D14">
        <f t="shared" si="7"/>
        <v>849903</v>
      </c>
      <c r="E14" s="2">
        <v>5176.03</v>
      </c>
      <c r="F14" s="2">
        <v>362.32</v>
      </c>
      <c r="G14" s="2">
        <f t="shared" si="1"/>
        <v>5538.3499999999995</v>
      </c>
      <c r="H14" s="40"/>
      <c r="I14" s="2">
        <v>56391.360000000001</v>
      </c>
      <c r="J14" s="2">
        <v>3947.4</v>
      </c>
      <c r="K14" s="2"/>
      <c r="L14" s="2">
        <f t="shared" si="2"/>
        <v>60338.76</v>
      </c>
      <c r="M14" s="2">
        <f t="shared" si="3"/>
        <v>65877.11</v>
      </c>
      <c r="N14" s="4">
        <f t="shared" si="4"/>
        <v>62300.04</v>
      </c>
      <c r="O14" s="4">
        <f t="shared" si="8"/>
        <v>322512.87</v>
      </c>
      <c r="P14" s="47">
        <f t="shared" si="5"/>
        <v>0.48</v>
      </c>
      <c r="Q14" s="47">
        <f t="shared" si="6"/>
        <v>0.38</v>
      </c>
    </row>
    <row r="15" spans="1:17" x14ac:dyDescent="0.2">
      <c r="A15" t="s">
        <v>9</v>
      </c>
      <c r="B15">
        <v>176173</v>
      </c>
      <c r="C15" s="15">
        <f t="shared" si="0"/>
        <v>7.1900000000000006E-2</v>
      </c>
      <c r="D15">
        <f t="shared" si="7"/>
        <v>1026076</v>
      </c>
      <c r="E15" s="2">
        <v>5164.1099999999997</v>
      </c>
      <c r="F15" s="2">
        <v>361.49</v>
      </c>
      <c r="G15" s="2">
        <f t="shared" si="1"/>
        <v>5525.5999999999995</v>
      </c>
      <c r="H15" s="40"/>
      <c r="I15" s="2">
        <v>93693.77</v>
      </c>
      <c r="J15" s="2">
        <v>6558.56</v>
      </c>
      <c r="K15" s="2"/>
      <c r="L15" s="2">
        <f t="shared" si="2"/>
        <v>100252.33</v>
      </c>
      <c r="M15" s="2">
        <f t="shared" si="3"/>
        <v>105777.93000000001</v>
      </c>
      <c r="N15" s="4">
        <f t="shared" si="4"/>
        <v>100034.29000000001</v>
      </c>
      <c r="O15" s="4">
        <f t="shared" si="8"/>
        <v>422547.16000000003</v>
      </c>
      <c r="P15" s="47">
        <f t="shared" si="5"/>
        <v>0.56999999999999995</v>
      </c>
      <c r="Q15" s="47">
        <f t="shared" si="6"/>
        <v>0.41</v>
      </c>
    </row>
    <row r="16" spans="1:17" x14ac:dyDescent="0.2">
      <c r="A16" t="s">
        <v>10</v>
      </c>
      <c r="B16">
        <v>235152</v>
      </c>
      <c r="C16" s="15">
        <f t="shared" si="0"/>
        <v>9.6000000000000002E-2</v>
      </c>
      <c r="D16">
        <f t="shared" si="7"/>
        <v>1261228</v>
      </c>
      <c r="E16" s="2">
        <v>5901.36</v>
      </c>
      <c r="F16" s="2">
        <v>413.1</v>
      </c>
      <c r="G16" s="2">
        <f t="shared" si="1"/>
        <v>6314.46</v>
      </c>
      <c r="H16" s="40"/>
      <c r="I16" s="2">
        <v>87951.66</v>
      </c>
      <c r="J16" s="2">
        <v>6156.62</v>
      </c>
      <c r="K16" s="2"/>
      <c r="L16" s="2">
        <f t="shared" si="2"/>
        <v>94108.28</v>
      </c>
      <c r="M16" s="2">
        <f t="shared" si="3"/>
        <v>100422.74</v>
      </c>
      <c r="N16" s="4">
        <f t="shared" si="4"/>
        <v>94969.88</v>
      </c>
      <c r="O16" s="4">
        <f t="shared" si="8"/>
        <v>517517.04000000004</v>
      </c>
      <c r="P16" s="47">
        <f t="shared" si="5"/>
        <v>0.4</v>
      </c>
      <c r="Q16" s="47">
        <f t="shared" si="6"/>
        <v>0.41</v>
      </c>
    </row>
    <row r="17" spans="1:17" x14ac:dyDescent="0.2">
      <c r="A17" t="s">
        <v>11</v>
      </c>
      <c r="B17">
        <v>300417</v>
      </c>
      <c r="C17" s="15">
        <f t="shared" si="0"/>
        <v>0.1226</v>
      </c>
      <c r="D17">
        <f t="shared" si="7"/>
        <v>1561645</v>
      </c>
      <c r="E17" s="2">
        <v>5910.77</v>
      </c>
      <c r="F17" s="2">
        <v>413.75</v>
      </c>
      <c r="G17" s="2">
        <f t="shared" si="1"/>
        <v>6324.52</v>
      </c>
      <c r="H17" s="40"/>
      <c r="I17" s="2">
        <v>148725.54</v>
      </c>
      <c r="J17" s="2">
        <v>10410.790000000001</v>
      </c>
      <c r="K17" s="2"/>
      <c r="L17" s="2">
        <f t="shared" si="2"/>
        <v>159136.33000000002</v>
      </c>
      <c r="M17" s="2">
        <f t="shared" si="3"/>
        <v>165460.85</v>
      </c>
      <c r="N17" s="4">
        <f t="shared" si="4"/>
        <v>156476.48000000001</v>
      </c>
      <c r="O17" s="4">
        <f t="shared" si="8"/>
        <v>673993.52</v>
      </c>
      <c r="P17" s="47">
        <f t="shared" si="5"/>
        <v>0.52</v>
      </c>
      <c r="Q17" s="47">
        <f t="shared" si="6"/>
        <v>0.43</v>
      </c>
    </row>
    <row r="18" spans="1:17" x14ac:dyDescent="0.2">
      <c r="A18" t="s">
        <v>12</v>
      </c>
      <c r="B18">
        <v>314386</v>
      </c>
      <c r="C18" s="15">
        <f t="shared" si="0"/>
        <v>0.1283</v>
      </c>
      <c r="D18">
        <f t="shared" si="7"/>
        <v>1876031</v>
      </c>
      <c r="E18" s="2">
        <v>13097.48</v>
      </c>
      <c r="F18" s="2">
        <v>916.82</v>
      </c>
      <c r="G18" s="2">
        <f t="shared" si="1"/>
        <v>14014.3</v>
      </c>
      <c r="H18" s="40"/>
      <c r="I18" s="2">
        <v>108318.63</v>
      </c>
      <c r="J18" s="2">
        <v>7582.3</v>
      </c>
      <c r="K18" s="2"/>
      <c r="L18" s="2">
        <f t="shared" si="2"/>
        <v>115900.93000000001</v>
      </c>
      <c r="M18" s="2">
        <f t="shared" si="3"/>
        <v>129915.23000000001</v>
      </c>
      <c r="N18" s="4">
        <f t="shared" si="4"/>
        <v>122860.96</v>
      </c>
      <c r="O18" s="4">
        <f t="shared" si="8"/>
        <v>796854.48</v>
      </c>
      <c r="P18" s="47">
        <f t="shared" si="5"/>
        <v>0.39</v>
      </c>
      <c r="Q18" s="47">
        <f t="shared" si="6"/>
        <v>0.42</v>
      </c>
    </row>
    <row r="19" spans="1:17" x14ac:dyDescent="0.2">
      <c r="A19" t="s">
        <v>13</v>
      </c>
      <c r="B19">
        <v>301154</v>
      </c>
      <c r="C19" s="15">
        <f t="shared" si="0"/>
        <v>0.1229</v>
      </c>
      <c r="D19">
        <f t="shared" si="7"/>
        <v>2177185</v>
      </c>
      <c r="E19" s="2">
        <v>5764.9</v>
      </c>
      <c r="F19" s="2">
        <v>403.54</v>
      </c>
      <c r="G19" s="2">
        <f t="shared" si="1"/>
        <v>6168.44</v>
      </c>
      <c r="H19" s="40"/>
      <c r="I19" s="2">
        <v>93250.57</v>
      </c>
      <c r="J19" s="2">
        <v>6527.54</v>
      </c>
      <c r="K19" s="2"/>
      <c r="L19" s="2">
        <f t="shared" si="2"/>
        <v>99778.11</v>
      </c>
      <c r="M19" s="2">
        <f t="shared" si="3"/>
        <v>105946.55</v>
      </c>
      <c r="N19" s="4">
        <f t="shared" si="4"/>
        <v>100193.75</v>
      </c>
      <c r="O19" s="4">
        <f t="shared" si="8"/>
        <v>897048.23</v>
      </c>
      <c r="P19" s="47">
        <f t="shared" si="5"/>
        <v>0.33</v>
      </c>
      <c r="Q19" s="47">
        <f t="shared" si="6"/>
        <v>0.41</v>
      </c>
    </row>
    <row r="20" spans="1:17" x14ac:dyDescent="0.2">
      <c r="A20" t="s">
        <v>14</v>
      </c>
      <c r="B20">
        <v>272516</v>
      </c>
      <c r="C20" s="15">
        <f t="shared" si="0"/>
        <v>0.11119999999999999</v>
      </c>
      <c r="D20">
        <f t="shared" si="7"/>
        <v>2449701</v>
      </c>
      <c r="E20" s="2">
        <v>5523.95</v>
      </c>
      <c r="F20" s="2">
        <v>386.68</v>
      </c>
      <c r="G20" s="2">
        <f t="shared" si="1"/>
        <v>5910.63</v>
      </c>
      <c r="H20" s="40"/>
      <c r="I20" s="2">
        <v>81108.789999999994</v>
      </c>
      <c r="J20" s="2">
        <v>5677.62</v>
      </c>
      <c r="K20" s="2"/>
      <c r="L20" s="2">
        <f t="shared" si="2"/>
        <v>86786.409999999989</v>
      </c>
      <c r="M20" s="2">
        <f t="shared" si="3"/>
        <v>92697.04</v>
      </c>
      <c r="N20" s="4">
        <f t="shared" si="4"/>
        <v>87663.679999999993</v>
      </c>
      <c r="O20" s="4">
        <f t="shared" si="8"/>
        <v>984711.90999999992</v>
      </c>
      <c r="P20" s="47">
        <f t="shared" si="5"/>
        <v>0.32</v>
      </c>
      <c r="Q20" s="47">
        <f t="shared" si="6"/>
        <v>0.4</v>
      </c>
    </row>
    <row r="21" spans="1:17" x14ac:dyDescent="0.2">
      <c r="E21" s="2"/>
      <c r="F21" s="2"/>
      <c r="G21" s="2"/>
      <c r="H21" s="40"/>
      <c r="I21" s="2"/>
      <c r="J21" s="2"/>
      <c r="K21" s="2"/>
      <c r="L21" s="2"/>
      <c r="M21" s="2"/>
      <c r="P21" s="47"/>
      <c r="Q21" s="47"/>
    </row>
    <row r="22" spans="1:17" x14ac:dyDescent="0.2">
      <c r="A22" t="s">
        <v>24</v>
      </c>
      <c r="B22">
        <f>SUM(B9:B20)</f>
        <v>2449701</v>
      </c>
      <c r="C22" s="15">
        <f>SUM(C9:C20)</f>
        <v>0.99980000000000002</v>
      </c>
      <c r="E22" s="2">
        <f t="shared" ref="E22:N22" si="9">SUM(E9:E20)</f>
        <v>71776.439999999988</v>
      </c>
      <c r="F22" s="2">
        <f t="shared" si="9"/>
        <v>5024.34</v>
      </c>
      <c r="G22" s="2">
        <f t="shared" si="9"/>
        <v>76800.780000000013</v>
      </c>
      <c r="H22" s="40"/>
      <c r="I22" s="2">
        <f t="shared" si="9"/>
        <v>901355.18000000017</v>
      </c>
      <c r="J22" s="2">
        <f t="shared" si="9"/>
        <v>63094.87000000001</v>
      </c>
      <c r="K22" s="2">
        <f t="shared" si="9"/>
        <v>0</v>
      </c>
      <c r="L22" s="2">
        <f t="shared" si="9"/>
        <v>964450.05000000016</v>
      </c>
      <c r="M22" s="2">
        <f t="shared" si="9"/>
        <v>1041250.8300000001</v>
      </c>
      <c r="N22" s="2">
        <f t="shared" si="9"/>
        <v>984711.90999999992</v>
      </c>
      <c r="O22" s="2"/>
      <c r="P22" s="47">
        <f t="shared" si="5"/>
        <v>0.4</v>
      </c>
      <c r="Q22" s="47"/>
    </row>
    <row r="26" spans="1:17" x14ac:dyDescent="0.2">
      <c r="B26" s="3"/>
      <c r="C26" s="3"/>
      <c r="D26" s="3" t="s">
        <v>30</v>
      </c>
      <c r="E26" s="3"/>
      <c r="F26" s="3"/>
      <c r="G26" s="3" t="s">
        <v>21</v>
      </c>
      <c r="I26" s="3"/>
      <c r="J26" s="3"/>
      <c r="K26" s="3"/>
      <c r="L26" s="3" t="s">
        <v>21</v>
      </c>
      <c r="M26" s="3" t="s">
        <v>21</v>
      </c>
      <c r="N26" s="3" t="s">
        <v>23</v>
      </c>
      <c r="O26" s="3" t="s">
        <v>30</v>
      </c>
      <c r="P26" s="46" t="s">
        <v>25</v>
      </c>
      <c r="Q26" s="46" t="s">
        <v>32</v>
      </c>
    </row>
    <row r="27" spans="1:17" x14ac:dyDescent="0.2">
      <c r="A27" t="s">
        <v>26</v>
      </c>
      <c r="B27" s="3" t="s">
        <v>15</v>
      </c>
      <c r="C27" s="3" t="s">
        <v>44</v>
      </c>
      <c r="D27" s="3" t="s">
        <v>15</v>
      </c>
      <c r="E27" s="3" t="s">
        <v>16</v>
      </c>
      <c r="F27" s="3" t="s">
        <v>17</v>
      </c>
      <c r="G27" s="3" t="s">
        <v>16</v>
      </c>
      <c r="H27" s="37" t="s">
        <v>28</v>
      </c>
      <c r="I27" s="3" t="s">
        <v>18</v>
      </c>
      <c r="J27" s="3" t="s">
        <v>19</v>
      </c>
      <c r="K27" s="3" t="s">
        <v>20</v>
      </c>
      <c r="L27" s="3" t="s">
        <v>18</v>
      </c>
      <c r="M27" s="3" t="s">
        <v>22</v>
      </c>
      <c r="N27" s="3" t="s">
        <v>22</v>
      </c>
      <c r="O27" s="3" t="s">
        <v>34</v>
      </c>
      <c r="P27" s="46" t="s">
        <v>15</v>
      </c>
      <c r="Q27" s="46" t="s">
        <v>33</v>
      </c>
    </row>
    <row r="28" spans="1:17" x14ac:dyDescent="0.2">
      <c r="D28" t="s">
        <v>31</v>
      </c>
    </row>
    <row r="29" spans="1:17" x14ac:dyDescent="0.2">
      <c r="A29" t="s">
        <v>3</v>
      </c>
      <c r="B29">
        <v>204104</v>
      </c>
      <c r="C29" s="15">
        <f>ROUND(B29/$B$42,4)</f>
        <v>7.7799999999999994E-2</v>
      </c>
      <c r="D29">
        <f>+B29</f>
        <v>204104</v>
      </c>
      <c r="E29" s="2">
        <v>5318.55</v>
      </c>
      <c r="F29" s="2">
        <v>372.3</v>
      </c>
      <c r="G29" s="2">
        <f>+E29+F29</f>
        <v>5690.85</v>
      </c>
      <c r="H29" s="41">
        <v>6.43</v>
      </c>
      <c r="I29" s="2">
        <v>53257.06</v>
      </c>
      <c r="J29" s="2">
        <v>3727.99</v>
      </c>
      <c r="K29" s="2">
        <v>0</v>
      </c>
      <c r="L29" s="2">
        <f>+I29+J29+K29</f>
        <v>56985.049999999996</v>
      </c>
      <c r="M29" s="2">
        <f>+G29+L29</f>
        <v>62675.899999999994</v>
      </c>
      <c r="N29" s="4">
        <f>+E29+ROUND(F29*0.17,2)+I29+ROUND(J29*0.17,2)</f>
        <v>59272.659999999996</v>
      </c>
      <c r="O29" s="4">
        <f>+N29</f>
        <v>59272.659999999996</v>
      </c>
      <c r="P29" s="48">
        <f>ROUND(N29/B29,2)</f>
        <v>0.28999999999999998</v>
      </c>
      <c r="Q29" s="48">
        <f>ROUND(O29/D29,2)</f>
        <v>0.28999999999999998</v>
      </c>
    </row>
    <row r="30" spans="1:17" x14ac:dyDescent="0.2">
      <c r="A30" t="s">
        <v>4</v>
      </c>
      <c r="B30">
        <v>165404</v>
      </c>
      <c r="C30" s="15">
        <f t="shared" ref="C30:C40" si="10">ROUND(B30/$B$42,4)</f>
        <v>6.3E-2</v>
      </c>
      <c r="D30">
        <f>+D29+B30</f>
        <v>369508</v>
      </c>
      <c r="E30" s="2">
        <v>5432.73</v>
      </c>
      <c r="F30" s="2">
        <v>380.29</v>
      </c>
      <c r="G30" s="2">
        <f t="shared" ref="G30:G40" si="11">+E30+F30</f>
        <v>5813.0199999999995</v>
      </c>
      <c r="H30" s="41">
        <v>5.51</v>
      </c>
      <c r="I30" s="2">
        <v>40247.47</v>
      </c>
      <c r="J30" s="2">
        <v>2817.32</v>
      </c>
      <c r="K30" s="2"/>
      <c r="L30" s="2">
        <f t="shared" ref="L30:L40" si="12">+I30+J30+K30</f>
        <v>43064.79</v>
      </c>
      <c r="M30" s="2">
        <f t="shared" ref="M30:M40" si="13">+G30+L30</f>
        <v>48877.81</v>
      </c>
      <c r="N30" s="4">
        <f t="shared" ref="N30:N40" si="14">+E30+ROUND(F30*0.17,2)+I30+ROUND(J30*0.17,2)</f>
        <v>46223.79</v>
      </c>
      <c r="O30" s="4">
        <f>+O29+N30</f>
        <v>105496.45</v>
      </c>
      <c r="P30" s="48">
        <f t="shared" ref="P30:P40" si="15">ROUND(N30/B30,2)</f>
        <v>0.28000000000000003</v>
      </c>
      <c r="Q30" s="48">
        <f t="shared" ref="Q30:Q40" si="16">ROUND(O30/D30,2)</f>
        <v>0.28999999999999998</v>
      </c>
    </row>
    <row r="31" spans="1:17" x14ac:dyDescent="0.2">
      <c r="A31" t="s">
        <v>5</v>
      </c>
      <c r="B31">
        <v>135581</v>
      </c>
      <c r="C31" s="15">
        <f t="shared" si="10"/>
        <v>5.1700000000000003E-2</v>
      </c>
      <c r="D31">
        <f t="shared" ref="D31:D40" si="17">+D30+B31</f>
        <v>505089</v>
      </c>
      <c r="E31" s="2">
        <v>5266.89</v>
      </c>
      <c r="F31" s="2">
        <v>316.01</v>
      </c>
      <c r="G31" s="2">
        <f t="shared" si="11"/>
        <v>5582.9000000000005</v>
      </c>
      <c r="H31" s="41">
        <v>5.75</v>
      </c>
      <c r="I31" s="2">
        <v>36118.089999999997</v>
      </c>
      <c r="J31" s="2">
        <v>2167.09</v>
      </c>
      <c r="K31" s="2"/>
      <c r="L31" s="2">
        <f t="shared" si="12"/>
        <v>38285.179999999993</v>
      </c>
      <c r="M31" s="2">
        <f t="shared" si="13"/>
        <v>43868.079999999994</v>
      </c>
      <c r="N31" s="4">
        <f t="shared" si="14"/>
        <v>41807.11</v>
      </c>
      <c r="O31" s="4">
        <f t="shared" ref="O31:O40" si="18">+O30+N31</f>
        <v>147303.56</v>
      </c>
      <c r="P31" s="48">
        <f t="shared" si="15"/>
        <v>0.31</v>
      </c>
      <c r="Q31" s="48">
        <f t="shared" si="16"/>
        <v>0.28999999999999998</v>
      </c>
    </row>
    <row r="32" spans="1:17" x14ac:dyDescent="0.2">
      <c r="A32" t="s">
        <v>6</v>
      </c>
      <c r="B32">
        <v>122892</v>
      </c>
      <c r="C32" s="15">
        <f t="shared" si="10"/>
        <v>4.6800000000000001E-2</v>
      </c>
      <c r="D32">
        <f t="shared" si="17"/>
        <v>627981</v>
      </c>
      <c r="E32" s="2">
        <v>5023.29</v>
      </c>
      <c r="F32" s="2">
        <v>301.39999999999998</v>
      </c>
      <c r="G32" s="2">
        <f t="shared" si="11"/>
        <v>5324.69</v>
      </c>
      <c r="H32" s="41">
        <v>5.69</v>
      </c>
      <c r="I32" s="2">
        <v>38385.83</v>
      </c>
      <c r="J32" s="2">
        <v>2280.1799999999998</v>
      </c>
      <c r="K32" s="2"/>
      <c r="L32" s="2">
        <f t="shared" si="12"/>
        <v>40666.01</v>
      </c>
      <c r="M32" s="2">
        <f t="shared" si="13"/>
        <v>45990.700000000004</v>
      </c>
      <c r="N32" s="4">
        <f t="shared" si="14"/>
        <v>43847.99</v>
      </c>
      <c r="O32" s="4">
        <f t="shared" si="18"/>
        <v>191151.55</v>
      </c>
      <c r="P32" s="48">
        <f t="shared" si="15"/>
        <v>0.36</v>
      </c>
      <c r="Q32" s="48">
        <f t="shared" si="16"/>
        <v>0.3</v>
      </c>
    </row>
    <row r="33" spans="1:17" x14ac:dyDescent="0.2">
      <c r="A33" t="s">
        <v>7</v>
      </c>
      <c r="B33">
        <v>133795</v>
      </c>
      <c r="C33" s="15">
        <f t="shared" si="10"/>
        <v>5.0999999999999997E-2</v>
      </c>
      <c r="D33">
        <f t="shared" si="17"/>
        <v>761776</v>
      </c>
      <c r="E33" s="2">
        <v>5008.29</v>
      </c>
      <c r="F33" s="2">
        <v>300.5</v>
      </c>
      <c r="G33" s="2">
        <f t="shared" si="11"/>
        <v>5308.79</v>
      </c>
      <c r="H33" s="41">
        <v>6.33</v>
      </c>
      <c r="I33" s="2">
        <v>35672.61</v>
      </c>
      <c r="J33" s="2">
        <v>2140.36</v>
      </c>
      <c r="K33" s="2"/>
      <c r="L33" s="2">
        <f t="shared" si="12"/>
        <v>37812.97</v>
      </c>
      <c r="M33" s="2">
        <f t="shared" si="13"/>
        <v>43121.760000000002</v>
      </c>
      <c r="N33" s="4">
        <f t="shared" si="14"/>
        <v>41095.85</v>
      </c>
      <c r="O33" s="4">
        <f t="shared" si="18"/>
        <v>232247.4</v>
      </c>
      <c r="P33" s="48">
        <f t="shared" si="15"/>
        <v>0.31</v>
      </c>
      <c r="Q33" s="48">
        <f t="shared" si="16"/>
        <v>0.3</v>
      </c>
    </row>
    <row r="34" spans="1:17" x14ac:dyDescent="0.2">
      <c r="A34" t="s">
        <v>8</v>
      </c>
      <c r="B34">
        <v>149515</v>
      </c>
      <c r="C34" s="15">
        <f t="shared" si="10"/>
        <v>5.7000000000000002E-2</v>
      </c>
      <c r="D34">
        <f t="shared" si="17"/>
        <v>911291</v>
      </c>
      <c r="E34" s="2">
        <v>5064.6499999999996</v>
      </c>
      <c r="F34" s="2">
        <v>303.88</v>
      </c>
      <c r="G34" s="2">
        <f t="shared" si="11"/>
        <v>5368.53</v>
      </c>
      <c r="H34" s="41">
        <v>4.5999999999999996</v>
      </c>
      <c r="I34" s="2">
        <v>31951.279999999999</v>
      </c>
      <c r="J34" s="2">
        <v>1917.08</v>
      </c>
      <c r="K34" s="2"/>
      <c r="L34" s="2">
        <f t="shared" si="12"/>
        <v>33868.36</v>
      </c>
      <c r="M34" s="2">
        <f t="shared" si="13"/>
        <v>39236.89</v>
      </c>
      <c r="N34" s="4">
        <f t="shared" si="14"/>
        <v>37393.49</v>
      </c>
      <c r="O34" s="4">
        <f t="shared" si="18"/>
        <v>269640.89</v>
      </c>
      <c r="P34" s="48">
        <f t="shared" si="15"/>
        <v>0.25</v>
      </c>
      <c r="Q34" s="48">
        <f t="shared" si="16"/>
        <v>0.3</v>
      </c>
    </row>
    <row r="35" spans="1:17" x14ac:dyDescent="0.2">
      <c r="A35" t="s">
        <v>9</v>
      </c>
      <c r="B35">
        <v>202204</v>
      </c>
      <c r="C35" s="15">
        <f t="shared" si="10"/>
        <v>7.7100000000000002E-2</v>
      </c>
      <c r="D35">
        <f t="shared" si="17"/>
        <v>1113495</v>
      </c>
      <c r="E35" s="2">
        <v>5701.27</v>
      </c>
      <c r="F35" s="2">
        <v>342.08</v>
      </c>
      <c r="G35" s="2">
        <f t="shared" si="11"/>
        <v>6043.35</v>
      </c>
      <c r="H35" s="41">
        <v>5.76</v>
      </c>
      <c r="I35" s="2">
        <v>53780.74</v>
      </c>
      <c r="J35" s="2">
        <v>3226.84</v>
      </c>
      <c r="K35" s="2"/>
      <c r="L35" s="2">
        <f t="shared" si="12"/>
        <v>57007.58</v>
      </c>
      <c r="M35" s="2">
        <f t="shared" si="13"/>
        <v>63050.93</v>
      </c>
      <c r="N35" s="4">
        <f t="shared" si="14"/>
        <v>60088.719999999994</v>
      </c>
      <c r="O35" s="4">
        <f t="shared" si="18"/>
        <v>329729.61</v>
      </c>
      <c r="P35" s="48">
        <f t="shared" si="15"/>
        <v>0.3</v>
      </c>
      <c r="Q35" s="48">
        <f t="shared" si="16"/>
        <v>0.3</v>
      </c>
    </row>
    <row r="36" spans="1:17" x14ac:dyDescent="0.2">
      <c r="A36" t="s">
        <v>10</v>
      </c>
      <c r="B36">
        <v>234697</v>
      </c>
      <c r="C36" s="15">
        <f t="shared" si="10"/>
        <v>8.9399999999999993E-2</v>
      </c>
      <c r="D36">
        <f t="shared" si="17"/>
        <v>1348192</v>
      </c>
      <c r="E36" s="2">
        <v>5274.68</v>
      </c>
      <c r="F36" s="2">
        <v>316.48</v>
      </c>
      <c r="G36" s="2">
        <f t="shared" si="11"/>
        <v>5591.16</v>
      </c>
      <c r="H36" s="41">
        <v>7.48</v>
      </c>
      <c r="I36" s="2">
        <v>78908.55</v>
      </c>
      <c r="J36" s="2">
        <v>4734.51</v>
      </c>
      <c r="K36" s="2"/>
      <c r="L36" s="2">
        <f t="shared" si="12"/>
        <v>83643.06</v>
      </c>
      <c r="M36" s="2">
        <f t="shared" si="13"/>
        <v>89234.22</v>
      </c>
      <c r="N36" s="4">
        <f t="shared" si="14"/>
        <v>85041.9</v>
      </c>
      <c r="O36" s="4">
        <f t="shared" si="18"/>
        <v>414771.51</v>
      </c>
      <c r="P36" s="48">
        <f t="shared" si="15"/>
        <v>0.36</v>
      </c>
      <c r="Q36" s="48">
        <f t="shared" si="16"/>
        <v>0.31</v>
      </c>
    </row>
    <row r="37" spans="1:17" x14ac:dyDescent="0.2">
      <c r="A37" t="s">
        <v>11</v>
      </c>
      <c r="B37">
        <v>291324</v>
      </c>
      <c r="C37" s="15">
        <f t="shared" si="10"/>
        <v>0.111</v>
      </c>
      <c r="D37">
        <f t="shared" si="17"/>
        <v>1639516</v>
      </c>
      <c r="E37" s="2">
        <v>5589.67</v>
      </c>
      <c r="F37" s="2">
        <v>335.38</v>
      </c>
      <c r="G37" s="2">
        <f t="shared" si="11"/>
        <v>5925.05</v>
      </c>
      <c r="H37" s="41">
        <v>7.53</v>
      </c>
      <c r="I37" s="2">
        <v>96618.81</v>
      </c>
      <c r="J37" s="2">
        <v>5797.13</v>
      </c>
      <c r="K37" s="2"/>
      <c r="L37" s="2">
        <f t="shared" si="12"/>
        <v>102415.94</v>
      </c>
      <c r="M37" s="2">
        <f t="shared" si="13"/>
        <v>108340.99</v>
      </c>
      <c r="N37" s="4">
        <f t="shared" si="14"/>
        <v>103250.99999999999</v>
      </c>
      <c r="O37" s="4">
        <f t="shared" si="18"/>
        <v>518022.51</v>
      </c>
      <c r="P37" s="48">
        <f t="shared" si="15"/>
        <v>0.35</v>
      </c>
      <c r="Q37" s="48">
        <f t="shared" si="16"/>
        <v>0.32</v>
      </c>
    </row>
    <row r="38" spans="1:17" x14ac:dyDescent="0.2">
      <c r="A38" t="s">
        <v>12</v>
      </c>
      <c r="B38">
        <v>347894</v>
      </c>
      <c r="C38" s="15">
        <f t="shared" si="10"/>
        <v>0.1326</v>
      </c>
      <c r="D38">
        <f t="shared" si="17"/>
        <v>1987410</v>
      </c>
      <c r="E38" s="2">
        <v>9488.24</v>
      </c>
      <c r="F38" s="2">
        <v>569.29</v>
      </c>
      <c r="G38" s="2">
        <f t="shared" si="11"/>
        <v>10057.529999999999</v>
      </c>
      <c r="H38" s="41">
        <v>6.72</v>
      </c>
      <c r="I38" s="2">
        <v>92652.24</v>
      </c>
      <c r="J38" s="2">
        <v>5559.13</v>
      </c>
      <c r="K38" s="2"/>
      <c r="L38" s="2">
        <f t="shared" si="12"/>
        <v>98211.37000000001</v>
      </c>
      <c r="M38" s="2">
        <f t="shared" si="13"/>
        <v>108268.90000000001</v>
      </c>
      <c r="N38" s="4">
        <f t="shared" si="14"/>
        <v>103182.31000000001</v>
      </c>
      <c r="O38" s="4">
        <f t="shared" si="18"/>
        <v>621204.82000000007</v>
      </c>
      <c r="P38" s="48">
        <f t="shared" si="15"/>
        <v>0.3</v>
      </c>
      <c r="Q38" s="48">
        <f t="shared" si="16"/>
        <v>0.31</v>
      </c>
    </row>
    <row r="39" spans="1:17" x14ac:dyDescent="0.2">
      <c r="A39" t="s">
        <v>13</v>
      </c>
      <c r="B39">
        <v>342001</v>
      </c>
      <c r="C39" s="15">
        <f t="shared" si="10"/>
        <v>0.1303</v>
      </c>
      <c r="D39">
        <f t="shared" si="17"/>
        <v>2329411</v>
      </c>
      <c r="E39" s="2">
        <v>9428.19</v>
      </c>
      <c r="F39" s="2">
        <v>565.69000000000005</v>
      </c>
      <c r="G39" s="2">
        <f t="shared" si="11"/>
        <v>9993.880000000001</v>
      </c>
      <c r="H39" s="41">
        <v>7.7</v>
      </c>
      <c r="I39" s="2">
        <v>113722.27</v>
      </c>
      <c r="J39" s="2">
        <v>6823.34</v>
      </c>
      <c r="K39" s="2">
        <v>-0.01</v>
      </c>
      <c r="L39" s="2">
        <f t="shared" si="12"/>
        <v>120545.60000000001</v>
      </c>
      <c r="M39" s="2">
        <f t="shared" si="13"/>
        <v>130539.48000000001</v>
      </c>
      <c r="N39" s="4">
        <f t="shared" si="14"/>
        <v>124406.6</v>
      </c>
      <c r="O39" s="4">
        <f t="shared" si="18"/>
        <v>745611.42</v>
      </c>
      <c r="P39" s="48">
        <f t="shared" si="15"/>
        <v>0.36</v>
      </c>
      <c r="Q39" s="48">
        <f t="shared" si="16"/>
        <v>0.32</v>
      </c>
    </row>
    <row r="40" spans="1:17" x14ac:dyDescent="0.2">
      <c r="A40" t="s">
        <v>14</v>
      </c>
      <c r="B40">
        <v>294721</v>
      </c>
      <c r="C40" s="15">
        <f t="shared" si="10"/>
        <v>0.1123</v>
      </c>
      <c r="D40">
        <f t="shared" si="17"/>
        <v>2624132</v>
      </c>
      <c r="E40" s="2">
        <v>5832.35</v>
      </c>
      <c r="F40" s="2">
        <v>349.94</v>
      </c>
      <c r="G40" s="2">
        <f t="shared" si="11"/>
        <v>6182.29</v>
      </c>
      <c r="H40" s="41">
        <v>7.21</v>
      </c>
      <c r="I40" s="2">
        <v>95325.86</v>
      </c>
      <c r="J40" s="2">
        <v>5719.55</v>
      </c>
      <c r="K40" s="2">
        <v>1205.45</v>
      </c>
      <c r="L40" s="2">
        <f t="shared" si="12"/>
        <v>102250.86</v>
      </c>
      <c r="M40" s="2">
        <f t="shared" si="13"/>
        <v>108433.15</v>
      </c>
      <c r="N40" s="4">
        <f t="shared" si="14"/>
        <v>102190.02</v>
      </c>
      <c r="O40" s="4">
        <f t="shared" si="18"/>
        <v>847801.44000000006</v>
      </c>
      <c r="P40" s="48">
        <f t="shared" si="15"/>
        <v>0.35</v>
      </c>
      <c r="Q40" s="48">
        <f t="shared" si="16"/>
        <v>0.32</v>
      </c>
    </row>
    <row r="41" spans="1:17" x14ac:dyDescent="0.2">
      <c r="E41" s="2"/>
      <c r="F41" s="2"/>
      <c r="G41" s="2"/>
      <c r="H41" s="40"/>
      <c r="I41" s="2"/>
      <c r="J41" s="2"/>
      <c r="K41" s="2"/>
      <c r="L41" s="2"/>
      <c r="M41" s="2"/>
      <c r="P41" s="47"/>
      <c r="Q41" s="47"/>
    </row>
    <row r="42" spans="1:17" x14ac:dyDescent="0.2">
      <c r="A42" t="s">
        <v>24</v>
      </c>
      <c r="B42">
        <f>SUM(B29:B40)</f>
        <v>2624132</v>
      </c>
      <c r="C42" s="15">
        <f>SUM(C29:C40)</f>
        <v>1</v>
      </c>
      <c r="E42" s="2">
        <f t="shared" ref="E42:N42" si="19">SUM(E29:E40)</f>
        <v>72428.800000000003</v>
      </c>
      <c r="F42" s="2">
        <f t="shared" si="19"/>
        <v>4453.24</v>
      </c>
      <c r="G42" s="2">
        <f t="shared" si="19"/>
        <v>76882.039999999994</v>
      </c>
      <c r="H42" s="40"/>
      <c r="I42" s="2">
        <f t="shared" si="19"/>
        <v>766640.81</v>
      </c>
      <c r="J42" s="2">
        <f t="shared" si="19"/>
        <v>46910.520000000004</v>
      </c>
      <c r="K42" s="2">
        <f t="shared" si="19"/>
        <v>1205.44</v>
      </c>
      <c r="L42" s="2">
        <f t="shared" si="19"/>
        <v>814756.77</v>
      </c>
      <c r="M42" s="2">
        <f t="shared" si="19"/>
        <v>891638.81</v>
      </c>
      <c r="N42" s="2">
        <f t="shared" si="19"/>
        <v>847801.44000000006</v>
      </c>
      <c r="O42" s="2"/>
      <c r="P42" s="47">
        <f>ROUND(N42/B42,2)</f>
        <v>0.32</v>
      </c>
      <c r="Q42" s="47"/>
    </row>
    <row r="46" spans="1:17" x14ac:dyDescent="0.2">
      <c r="B46" s="3"/>
      <c r="C46" s="3"/>
      <c r="D46" s="3" t="s">
        <v>30</v>
      </c>
      <c r="E46" s="3"/>
      <c r="F46" s="3"/>
      <c r="G46" s="3" t="s">
        <v>21</v>
      </c>
      <c r="I46" s="3"/>
      <c r="J46" s="3"/>
      <c r="K46" s="3"/>
      <c r="L46" s="3" t="s">
        <v>21</v>
      </c>
      <c r="M46" s="3" t="s">
        <v>21</v>
      </c>
      <c r="N46" s="3" t="s">
        <v>23</v>
      </c>
      <c r="O46" s="3" t="s">
        <v>30</v>
      </c>
      <c r="P46" s="46" t="s">
        <v>25</v>
      </c>
      <c r="Q46" s="46" t="s">
        <v>32</v>
      </c>
    </row>
    <row r="47" spans="1:17" x14ac:dyDescent="0.2">
      <c r="A47" t="s">
        <v>27</v>
      </c>
      <c r="B47" s="3" t="s">
        <v>15</v>
      </c>
      <c r="C47" s="3" t="s">
        <v>44</v>
      </c>
      <c r="D47" s="3" t="s">
        <v>15</v>
      </c>
      <c r="E47" s="3" t="s">
        <v>16</v>
      </c>
      <c r="F47" s="3" t="s">
        <v>17</v>
      </c>
      <c r="G47" s="3" t="s">
        <v>16</v>
      </c>
      <c r="H47" s="37" t="s">
        <v>28</v>
      </c>
      <c r="I47" s="3" t="s">
        <v>18</v>
      </c>
      <c r="J47" s="3" t="s">
        <v>19</v>
      </c>
      <c r="K47" s="3" t="s">
        <v>20</v>
      </c>
      <c r="L47" s="3" t="s">
        <v>18</v>
      </c>
      <c r="M47" s="3" t="s">
        <v>22</v>
      </c>
      <c r="N47" s="3" t="s">
        <v>22</v>
      </c>
      <c r="O47" s="3" t="s">
        <v>34</v>
      </c>
      <c r="P47" s="46" t="s">
        <v>15</v>
      </c>
      <c r="Q47" s="46" t="s">
        <v>33</v>
      </c>
    </row>
    <row r="48" spans="1:17" x14ac:dyDescent="0.2">
      <c r="D48" t="s">
        <v>31</v>
      </c>
    </row>
    <row r="49" spans="1:17" x14ac:dyDescent="0.2">
      <c r="A49" t="s">
        <v>3</v>
      </c>
      <c r="B49">
        <v>222008</v>
      </c>
      <c r="C49" s="15">
        <f>ROUND(B49/$B$62,4)</f>
        <v>8.0500000000000002E-2</v>
      </c>
      <c r="D49">
        <f>+B49</f>
        <v>222008</v>
      </c>
      <c r="E49" s="2">
        <v>5808.54</v>
      </c>
      <c r="F49" s="2">
        <v>348.51</v>
      </c>
      <c r="G49" s="2">
        <f>+E49+F49</f>
        <v>6157.05</v>
      </c>
      <c r="H49" s="41">
        <v>7.33</v>
      </c>
      <c r="I49" s="2">
        <v>73980.38</v>
      </c>
      <c r="J49" s="2">
        <v>4438.82</v>
      </c>
      <c r="K49" s="2">
        <v>-1205.46</v>
      </c>
      <c r="L49" s="2">
        <f>+I49+J49+K49</f>
        <v>77213.740000000005</v>
      </c>
      <c r="M49" s="2">
        <f>+G49+L49</f>
        <v>83370.790000000008</v>
      </c>
      <c r="N49" s="4">
        <f>+E49+ROUND(F49*0.17,2)+I49+ROUND(J49*0.17,2)</f>
        <v>80602.77</v>
      </c>
      <c r="O49" s="4">
        <f>+N49</f>
        <v>80602.77</v>
      </c>
      <c r="P49" s="48">
        <f>ROUND(N49/B49,2)</f>
        <v>0.36</v>
      </c>
      <c r="Q49" s="48">
        <f>ROUND(O49/D49,2)</f>
        <v>0.36</v>
      </c>
    </row>
    <row r="50" spans="1:17" x14ac:dyDescent="0.2">
      <c r="A50" t="s">
        <v>4</v>
      </c>
      <c r="B50">
        <v>181524</v>
      </c>
      <c r="C50" s="15">
        <f t="shared" ref="C50:C60" si="20">ROUND(B50/$B$62,4)</f>
        <v>6.5799999999999997E-2</v>
      </c>
      <c r="D50">
        <f>+D49+B50</f>
        <v>403532</v>
      </c>
      <c r="E50" s="2">
        <v>5717.18</v>
      </c>
      <c r="F50" s="2">
        <v>343.03</v>
      </c>
      <c r="G50" s="2">
        <f t="shared" ref="G50:G60" si="21">+E50+F50</f>
        <v>6060.21</v>
      </c>
      <c r="H50" s="41">
        <v>7</v>
      </c>
      <c r="I50" s="2">
        <v>51388.81</v>
      </c>
      <c r="J50" s="2">
        <v>3083.33</v>
      </c>
      <c r="K50" s="2"/>
      <c r="L50" s="2">
        <f t="shared" ref="L50:L60" si="22">+I50+J50+K50</f>
        <v>54472.14</v>
      </c>
      <c r="M50" s="2">
        <f t="shared" ref="M50:M60" si="23">+G50+L50</f>
        <v>60532.35</v>
      </c>
      <c r="N50" s="4">
        <f t="shared" ref="N50:N60" si="24">+E50+ROUND(F50*0.17,2)+I50+ROUND(J50*0.17,2)</f>
        <v>57688.479999999996</v>
      </c>
      <c r="O50" s="4">
        <f>+O49+N50</f>
        <v>138291.25</v>
      </c>
      <c r="P50" s="48">
        <f t="shared" ref="P50:P60" si="25">ROUND(N50/B50,2)</f>
        <v>0.32</v>
      </c>
      <c r="Q50" s="48">
        <f t="shared" ref="Q50:Q60" si="26">ROUND(O50/D50,2)</f>
        <v>0.34</v>
      </c>
    </row>
    <row r="51" spans="1:17" x14ac:dyDescent="0.2">
      <c r="A51" t="s">
        <v>5</v>
      </c>
      <c r="B51">
        <v>142603</v>
      </c>
      <c r="C51" s="15">
        <f t="shared" si="20"/>
        <v>5.1700000000000003E-2</v>
      </c>
      <c r="D51">
        <f t="shared" ref="D51:D60" si="27">+D50+B51</f>
        <v>546135</v>
      </c>
      <c r="E51" s="2">
        <v>5388.27</v>
      </c>
      <c r="F51" s="2">
        <v>323.3</v>
      </c>
      <c r="G51" s="2">
        <f t="shared" si="21"/>
        <v>5711.5700000000006</v>
      </c>
      <c r="H51" s="41">
        <v>5.44</v>
      </c>
      <c r="I51" s="2">
        <v>38621.71</v>
      </c>
      <c r="J51" s="2">
        <v>2317.3000000000002</v>
      </c>
      <c r="K51" s="2"/>
      <c r="L51" s="2">
        <f t="shared" si="22"/>
        <v>40939.01</v>
      </c>
      <c r="M51" s="2">
        <f t="shared" si="23"/>
        <v>46650.58</v>
      </c>
      <c r="N51" s="4">
        <f t="shared" si="24"/>
        <v>44458.880000000005</v>
      </c>
      <c r="O51" s="4">
        <f t="shared" ref="O51:O60" si="28">+O50+N51</f>
        <v>182750.13</v>
      </c>
      <c r="P51" s="48">
        <f t="shared" si="25"/>
        <v>0.31</v>
      </c>
      <c r="Q51" s="48">
        <f t="shared" si="26"/>
        <v>0.33</v>
      </c>
    </row>
    <row r="52" spans="1:17" x14ac:dyDescent="0.2">
      <c r="A52" t="s">
        <v>6</v>
      </c>
      <c r="B52">
        <v>144444</v>
      </c>
      <c r="C52" s="15">
        <f t="shared" si="20"/>
        <v>5.2400000000000002E-2</v>
      </c>
      <c r="D52">
        <f t="shared" si="27"/>
        <v>690579</v>
      </c>
      <c r="E52" s="2">
        <v>5402.13</v>
      </c>
      <c r="F52" s="2">
        <v>324.13</v>
      </c>
      <c r="G52" s="2">
        <f t="shared" si="21"/>
        <v>5726.26</v>
      </c>
      <c r="H52" s="41">
        <v>5.34</v>
      </c>
      <c r="I52" s="2">
        <v>36479.51</v>
      </c>
      <c r="J52" s="2">
        <v>2188.77</v>
      </c>
      <c r="K52" s="2"/>
      <c r="L52" s="2">
        <f t="shared" si="22"/>
        <v>38668.28</v>
      </c>
      <c r="M52" s="2">
        <f t="shared" si="23"/>
        <v>44394.54</v>
      </c>
      <c r="N52" s="4">
        <f t="shared" si="24"/>
        <v>42308.83</v>
      </c>
      <c r="O52" s="4">
        <f t="shared" si="28"/>
        <v>225058.96000000002</v>
      </c>
      <c r="P52" s="48">
        <f t="shared" si="25"/>
        <v>0.28999999999999998</v>
      </c>
      <c r="Q52" s="48">
        <f t="shared" si="26"/>
        <v>0.33</v>
      </c>
    </row>
    <row r="53" spans="1:17" x14ac:dyDescent="0.2">
      <c r="A53" t="s">
        <v>7</v>
      </c>
      <c r="B53">
        <v>148976</v>
      </c>
      <c r="C53" s="15">
        <f t="shared" si="20"/>
        <v>5.3999999999999999E-2</v>
      </c>
      <c r="D53">
        <f t="shared" si="27"/>
        <v>839555</v>
      </c>
      <c r="E53" s="2">
        <v>5320.17</v>
      </c>
      <c r="F53" s="2">
        <v>319.20999999999998</v>
      </c>
      <c r="G53" s="2">
        <f t="shared" si="21"/>
        <v>5639.38</v>
      </c>
      <c r="H53" s="41">
        <v>5.03</v>
      </c>
      <c r="I53" s="2">
        <v>32451.96</v>
      </c>
      <c r="J53" s="2">
        <v>1947.12</v>
      </c>
      <c r="K53" s="2"/>
      <c r="L53" s="2">
        <f t="shared" si="22"/>
        <v>34399.08</v>
      </c>
      <c r="M53" s="2">
        <f t="shared" si="23"/>
        <v>40038.46</v>
      </c>
      <c r="N53" s="4">
        <f t="shared" si="24"/>
        <v>38157.410000000003</v>
      </c>
      <c r="O53" s="4">
        <f t="shared" si="28"/>
        <v>263216.37</v>
      </c>
      <c r="P53" s="48">
        <f t="shared" si="25"/>
        <v>0.26</v>
      </c>
      <c r="Q53" s="48">
        <f t="shared" si="26"/>
        <v>0.31</v>
      </c>
    </row>
    <row r="54" spans="1:17" x14ac:dyDescent="0.2">
      <c r="A54" t="s">
        <v>8</v>
      </c>
      <c r="B54">
        <v>145095</v>
      </c>
      <c r="C54" s="15">
        <f t="shared" si="20"/>
        <v>5.2600000000000001E-2</v>
      </c>
      <c r="D54">
        <f t="shared" si="27"/>
        <v>984650</v>
      </c>
      <c r="E54" s="2">
        <v>5310.53</v>
      </c>
      <c r="F54" s="2">
        <v>318.63</v>
      </c>
      <c r="G54" s="2">
        <f t="shared" si="21"/>
        <v>5629.16</v>
      </c>
      <c r="H54" s="41">
        <v>4.95</v>
      </c>
      <c r="I54" s="2">
        <v>32859.17</v>
      </c>
      <c r="J54" s="2">
        <v>1971.55</v>
      </c>
      <c r="K54" s="2"/>
      <c r="L54" s="2">
        <f t="shared" si="22"/>
        <v>34830.720000000001</v>
      </c>
      <c r="M54" s="2">
        <f t="shared" si="23"/>
        <v>40459.880000000005</v>
      </c>
      <c r="N54" s="4">
        <f t="shared" si="24"/>
        <v>38559.03</v>
      </c>
      <c r="O54" s="4">
        <f t="shared" si="28"/>
        <v>301775.40000000002</v>
      </c>
      <c r="P54" s="48">
        <f t="shared" si="25"/>
        <v>0.27</v>
      </c>
      <c r="Q54" s="48">
        <f t="shared" si="26"/>
        <v>0.31</v>
      </c>
    </row>
    <row r="55" spans="1:17" x14ac:dyDescent="0.2">
      <c r="A55" t="s">
        <v>9</v>
      </c>
      <c r="B55">
        <v>181638</v>
      </c>
      <c r="C55" s="15">
        <f t="shared" si="20"/>
        <v>6.59E-2</v>
      </c>
      <c r="D55">
        <f t="shared" si="27"/>
        <v>1166288</v>
      </c>
      <c r="E55" s="2">
        <v>5674.9</v>
      </c>
      <c r="F55" s="2">
        <v>340.49</v>
      </c>
      <c r="G55" s="2">
        <f t="shared" si="21"/>
        <v>6015.3899999999994</v>
      </c>
      <c r="H55" s="41">
        <v>5.84</v>
      </c>
      <c r="I55" s="2">
        <v>51745.45</v>
      </c>
      <c r="J55" s="2">
        <v>3104.73</v>
      </c>
      <c r="K55" s="2"/>
      <c r="L55" s="2">
        <f t="shared" si="22"/>
        <v>54850.18</v>
      </c>
      <c r="M55" s="2">
        <f t="shared" si="23"/>
        <v>60865.57</v>
      </c>
      <c r="N55" s="4">
        <f t="shared" si="24"/>
        <v>58006.03</v>
      </c>
      <c r="O55" s="4">
        <f t="shared" si="28"/>
        <v>359781.43000000005</v>
      </c>
      <c r="P55" s="48">
        <f t="shared" si="25"/>
        <v>0.32</v>
      </c>
      <c r="Q55" s="48">
        <f t="shared" si="26"/>
        <v>0.31</v>
      </c>
    </row>
    <row r="56" spans="1:17" x14ac:dyDescent="0.2">
      <c r="A56" t="s">
        <v>10</v>
      </c>
      <c r="B56">
        <v>252855</v>
      </c>
      <c r="C56" s="15">
        <f t="shared" si="20"/>
        <v>9.1700000000000004E-2</v>
      </c>
      <c r="D56">
        <f t="shared" si="27"/>
        <v>1419143</v>
      </c>
      <c r="E56" s="2">
        <v>5704.96</v>
      </c>
      <c r="F56" s="2">
        <v>342.3</v>
      </c>
      <c r="G56" s="2">
        <f t="shared" si="21"/>
        <v>6047.26</v>
      </c>
      <c r="H56" s="41">
        <v>5.88</v>
      </c>
      <c r="I56" s="2">
        <v>66532.990000000005</v>
      </c>
      <c r="J56" s="2">
        <v>3991.98</v>
      </c>
      <c r="K56" s="2"/>
      <c r="L56" s="2">
        <f t="shared" si="22"/>
        <v>70524.97</v>
      </c>
      <c r="M56" s="2">
        <f t="shared" si="23"/>
        <v>76572.23</v>
      </c>
      <c r="N56" s="4">
        <f t="shared" si="24"/>
        <v>72974.78</v>
      </c>
      <c r="O56" s="4">
        <f t="shared" si="28"/>
        <v>432756.21000000008</v>
      </c>
      <c r="P56" s="48">
        <f t="shared" si="25"/>
        <v>0.28999999999999998</v>
      </c>
      <c r="Q56" s="48">
        <f t="shared" si="26"/>
        <v>0.3</v>
      </c>
    </row>
    <row r="57" spans="1:17" x14ac:dyDescent="0.2">
      <c r="A57" t="s">
        <v>11</v>
      </c>
      <c r="B57">
        <v>319028</v>
      </c>
      <c r="C57" s="15">
        <f t="shared" si="20"/>
        <v>0.1157</v>
      </c>
      <c r="D57">
        <f t="shared" si="27"/>
        <v>1738171</v>
      </c>
      <c r="E57" s="2">
        <v>5877.49</v>
      </c>
      <c r="F57" s="2">
        <v>293.87</v>
      </c>
      <c r="G57" s="2">
        <f t="shared" si="21"/>
        <v>6171.36</v>
      </c>
      <c r="H57" s="41">
        <v>6.27</v>
      </c>
      <c r="I57" s="2">
        <v>88123.7</v>
      </c>
      <c r="J57" s="2">
        <v>4406.1899999999996</v>
      </c>
      <c r="K57" s="2"/>
      <c r="L57" s="2">
        <f t="shared" si="22"/>
        <v>92529.89</v>
      </c>
      <c r="M57" s="2">
        <f t="shared" si="23"/>
        <v>98701.25</v>
      </c>
      <c r="N57" s="4">
        <f t="shared" si="24"/>
        <v>94800.2</v>
      </c>
      <c r="O57" s="4">
        <f t="shared" si="28"/>
        <v>527556.41</v>
      </c>
      <c r="P57" s="48">
        <f t="shared" si="25"/>
        <v>0.3</v>
      </c>
      <c r="Q57" s="48">
        <f t="shared" si="26"/>
        <v>0.3</v>
      </c>
    </row>
    <row r="58" spans="1:17" x14ac:dyDescent="0.2">
      <c r="A58" t="s">
        <v>12</v>
      </c>
      <c r="B58">
        <v>320020</v>
      </c>
      <c r="C58" s="15">
        <f t="shared" si="20"/>
        <v>0.11609999999999999</v>
      </c>
      <c r="D58">
        <f t="shared" si="27"/>
        <v>2058191</v>
      </c>
      <c r="E58" s="2">
        <v>9757.7199999999993</v>
      </c>
      <c r="F58" s="2">
        <v>487.89</v>
      </c>
      <c r="G58" s="2">
        <f t="shared" si="21"/>
        <v>10245.609999999999</v>
      </c>
      <c r="H58" s="41">
        <v>7.58</v>
      </c>
      <c r="I58" s="2">
        <v>102980.54</v>
      </c>
      <c r="J58" s="2">
        <v>5149.03</v>
      </c>
      <c r="K58" s="2"/>
      <c r="L58" s="2">
        <f t="shared" si="22"/>
        <v>108129.56999999999</v>
      </c>
      <c r="M58" s="2">
        <f t="shared" si="23"/>
        <v>118375.18</v>
      </c>
      <c r="N58" s="4">
        <f t="shared" si="24"/>
        <v>113696.54</v>
      </c>
      <c r="O58" s="4">
        <f t="shared" si="28"/>
        <v>641252.95000000007</v>
      </c>
      <c r="P58" s="48">
        <f t="shared" si="25"/>
        <v>0.36</v>
      </c>
      <c r="Q58" s="48">
        <f t="shared" si="26"/>
        <v>0.31</v>
      </c>
    </row>
    <row r="59" spans="1:17" x14ac:dyDescent="0.2">
      <c r="A59" t="s">
        <v>13</v>
      </c>
      <c r="B59">
        <v>333135</v>
      </c>
      <c r="C59" s="15">
        <f t="shared" si="20"/>
        <v>0.1208</v>
      </c>
      <c r="D59">
        <f t="shared" si="27"/>
        <v>2391326</v>
      </c>
      <c r="E59" s="2">
        <v>8035.59</v>
      </c>
      <c r="F59" s="2">
        <v>401.78</v>
      </c>
      <c r="G59" s="2">
        <f t="shared" si="21"/>
        <v>8437.3700000000008</v>
      </c>
      <c r="H59" s="41">
        <v>7.83</v>
      </c>
      <c r="I59" s="2">
        <v>103624.66</v>
      </c>
      <c r="J59" s="2">
        <v>5181.2299999999996</v>
      </c>
      <c r="K59" s="2">
        <v>24000</v>
      </c>
      <c r="L59" s="2">
        <f t="shared" si="22"/>
        <v>132805.89000000001</v>
      </c>
      <c r="M59" s="2">
        <f t="shared" si="23"/>
        <v>141243.26</v>
      </c>
      <c r="N59" s="4">
        <f t="shared" si="24"/>
        <v>112609.36</v>
      </c>
      <c r="O59" s="4">
        <f t="shared" si="28"/>
        <v>753862.31</v>
      </c>
      <c r="P59" s="48">
        <f t="shared" si="25"/>
        <v>0.34</v>
      </c>
      <c r="Q59" s="48">
        <f t="shared" si="26"/>
        <v>0.32</v>
      </c>
    </row>
    <row r="60" spans="1:17" x14ac:dyDescent="0.2">
      <c r="A60" t="s">
        <v>14</v>
      </c>
      <c r="B60">
        <v>365430</v>
      </c>
      <c r="C60" s="15">
        <f t="shared" si="20"/>
        <v>0.1326</v>
      </c>
      <c r="D60">
        <f t="shared" si="27"/>
        <v>2756756</v>
      </c>
      <c r="E60" s="2">
        <v>8198.57</v>
      </c>
      <c r="F60" s="2">
        <v>409.93</v>
      </c>
      <c r="G60" s="2">
        <f t="shared" si="21"/>
        <v>8608.5</v>
      </c>
      <c r="H60" s="41">
        <v>8.2200000000000006</v>
      </c>
      <c r="I60" s="2">
        <v>137383.18</v>
      </c>
      <c r="J60" s="2">
        <v>6869.16</v>
      </c>
      <c r="K60" s="2">
        <v>12000</v>
      </c>
      <c r="L60" s="2">
        <f t="shared" si="22"/>
        <v>156252.34</v>
      </c>
      <c r="M60" s="2">
        <f t="shared" si="23"/>
        <v>164860.84</v>
      </c>
      <c r="N60" s="4">
        <f t="shared" si="24"/>
        <v>146819.20000000001</v>
      </c>
      <c r="O60" s="4">
        <f t="shared" si="28"/>
        <v>900681.51</v>
      </c>
      <c r="P60" s="48">
        <f t="shared" si="25"/>
        <v>0.4</v>
      </c>
      <c r="Q60" s="48">
        <f t="shared" si="26"/>
        <v>0.33</v>
      </c>
    </row>
    <row r="61" spans="1:17" x14ac:dyDescent="0.2">
      <c r="E61" s="2"/>
      <c r="F61" s="2"/>
      <c r="G61" s="2"/>
      <c r="H61" s="40"/>
      <c r="I61" s="2"/>
      <c r="J61" s="2"/>
      <c r="K61" s="2"/>
      <c r="L61" s="2"/>
      <c r="M61" s="2"/>
      <c r="P61" s="47"/>
      <c r="Q61" s="47"/>
    </row>
    <row r="62" spans="1:17" x14ac:dyDescent="0.2">
      <c r="A62" t="s">
        <v>24</v>
      </c>
      <c r="B62">
        <f>SUM(B49:B60)</f>
        <v>2756756</v>
      </c>
      <c r="C62" s="15">
        <f>SUM(C49:C60)</f>
        <v>0.99980000000000002</v>
      </c>
      <c r="E62" s="2">
        <f t="shared" ref="E62:N62" si="29">SUM(E49:E60)</f>
        <v>76196.049999999988</v>
      </c>
      <c r="F62" s="2">
        <f t="shared" si="29"/>
        <v>4253.0700000000006</v>
      </c>
      <c r="G62" s="2">
        <f t="shared" si="29"/>
        <v>80449.12000000001</v>
      </c>
      <c r="H62" s="40"/>
      <c r="I62" s="2">
        <f t="shared" si="29"/>
        <v>816172.06</v>
      </c>
      <c r="J62" s="2">
        <f t="shared" si="29"/>
        <v>44649.209999999992</v>
      </c>
      <c r="K62" s="2">
        <f t="shared" si="29"/>
        <v>34794.54</v>
      </c>
      <c r="L62" s="2">
        <f t="shared" si="29"/>
        <v>895615.80999999994</v>
      </c>
      <c r="M62" s="2">
        <f t="shared" si="29"/>
        <v>976064.93</v>
      </c>
      <c r="N62" s="2">
        <f t="shared" si="29"/>
        <v>900681.51</v>
      </c>
      <c r="O62" s="2"/>
      <c r="P62" s="47">
        <f>ROUND(N62/B62,2)</f>
        <v>0.33</v>
      </c>
      <c r="Q62" s="47"/>
    </row>
    <row r="66" spans="1:17" x14ac:dyDescent="0.2">
      <c r="B66" s="3"/>
      <c r="C66" s="3"/>
      <c r="D66" s="3" t="s">
        <v>30</v>
      </c>
      <c r="E66" s="3"/>
      <c r="F66" s="3"/>
      <c r="G66" s="3" t="s">
        <v>21</v>
      </c>
      <c r="I66" s="3"/>
      <c r="J66" s="3"/>
      <c r="K66" s="3"/>
      <c r="L66" s="3" t="s">
        <v>21</v>
      </c>
      <c r="M66" s="3" t="s">
        <v>21</v>
      </c>
      <c r="N66" s="3" t="s">
        <v>23</v>
      </c>
      <c r="O66" s="3" t="s">
        <v>30</v>
      </c>
      <c r="P66" s="46" t="s">
        <v>25</v>
      </c>
      <c r="Q66" s="46" t="s">
        <v>32</v>
      </c>
    </row>
    <row r="67" spans="1:17" x14ac:dyDescent="0.2">
      <c r="A67" s="1" t="s">
        <v>29</v>
      </c>
      <c r="B67" s="3" t="s">
        <v>15</v>
      </c>
      <c r="C67" s="3" t="s">
        <v>44</v>
      </c>
      <c r="D67" s="3" t="s">
        <v>15</v>
      </c>
      <c r="E67" s="3" t="s">
        <v>16</v>
      </c>
      <c r="F67" s="3" t="s">
        <v>17</v>
      </c>
      <c r="G67" s="3" t="s">
        <v>16</v>
      </c>
      <c r="H67" s="37" t="s">
        <v>28</v>
      </c>
      <c r="I67" s="3" t="s">
        <v>18</v>
      </c>
      <c r="J67" s="3" t="s">
        <v>19</v>
      </c>
      <c r="K67" s="3" t="s">
        <v>20</v>
      </c>
      <c r="L67" s="3" t="s">
        <v>18</v>
      </c>
      <c r="M67" s="3" t="s">
        <v>22</v>
      </c>
      <c r="N67" s="3" t="s">
        <v>22</v>
      </c>
      <c r="O67" s="3" t="s">
        <v>34</v>
      </c>
      <c r="P67" s="46" t="s">
        <v>15</v>
      </c>
      <c r="Q67" s="46" t="s">
        <v>33</v>
      </c>
    </row>
    <row r="68" spans="1:17" x14ac:dyDescent="0.2">
      <c r="D68" t="s">
        <v>31</v>
      </c>
    </row>
    <row r="69" spans="1:17" x14ac:dyDescent="0.2">
      <c r="A69" t="s">
        <v>3</v>
      </c>
      <c r="B69">
        <v>207842</v>
      </c>
      <c r="C69" s="15">
        <f>ROUND(B69/$B$82,4)</f>
        <v>7.8299999999999995E-2</v>
      </c>
      <c r="D69">
        <f>+B69</f>
        <v>207842</v>
      </c>
      <c r="E69" s="2">
        <v>5690.96</v>
      </c>
      <c r="F69" s="2">
        <v>284.55</v>
      </c>
      <c r="G69" s="2">
        <f>+E69+F69</f>
        <v>5975.51</v>
      </c>
      <c r="H69" s="41">
        <v>8.61</v>
      </c>
      <c r="I69" s="2">
        <v>68300.87</v>
      </c>
      <c r="J69" s="2">
        <v>3415.04</v>
      </c>
      <c r="K69" s="2">
        <v>12000</v>
      </c>
      <c r="L69" s="2">
        <f>+I69+J69+K69</f>
        <v>83715.909999999989</v>
      </c>
      <c r="M69" s="2">
        <f>+G69+L69</f>
        <v>89691.419999999984</v>
      </c>
      <c r="N69" s="4">
        <f>+E69+ROUND(F69*0.17,2)+I69+ROUND(J69*0.17,2)</f>
        <v>74620.759999999995</v>
      </c>
      <c r="O69" s="4">
        <f>+N69</f>
        <v>74620.759999999995</v>
      </c>
      <c r="P69" s="48">
        <f>ROUND(N69/B69,2)</f>
        <v>0.36</v>
      </c>
      <c r="Q69" s="48">
        <f>ROUND(O69/D69,2)</f>
        <v>0.36</v>
      </c>
    </row>
    <row r="70" spans="1:17" x14ac:dyDescent="0.2">
      <c r="A70" t="s">
        <v>4</v>
      </c>
      <c r="B70">
        <v>180279</v>
      </c>
      <c r="C70" s="15">
        <f t="shared" ref="C70:C80" si="30">ROUND(B70/$B$82,4)</f>
        <v>6.7900000000000002E-2</v>
      </c>
      <c r="D70">
        <f>+D69+B70</f>
        <v>388121</v>
      </c>
      <c r="E70" s="2">
        <v>5213.53</v>
      </c>
      <c r="F70" s="2">
        <v>260.68</v>
      </c>
      <c r="G70" s="2">
        <f t="shared" ref="G70:G80" si="31">+E70+F70</f>
        <v>5474.21</v>
      </c>
      <c r="H70" s="41">
        <v>8.92</v>
      </c>
      <c r="I70" s="2">
        <v>68056.37</v>
      </c>
      <c r="J70" s="2">
        <v>3402.82</v>
      </c>
      <c r="K70" s="2">
        <v>12000</v>
      </c>
      <c r="L70" s="2">
        <f t="shared" ref="L70:L80" si="32">+I70+J70+K70</f>
        <v>83459.19</v>
      </c>
      <c r="M70" s="2">
        <f t="shared" ref="M70:M80" si="33">+G70+L70</f>
        <v>88933.400000000009</v>
      </c>
      <c r="N70" s="4">
        <f t="shared" ref="N70:N80" si="34">+E70+ROUND(F70*0.17,2)+I70+ROUND(J70*0.17,2)</f>
        <v>73892.7</v>
      </c>
      <c r="O70" s="4">
        <f>+O69+N70</f>
        <v>148513.46</v>
      </c>
      <c r="P70" s="48">
        <f t="shared" ref="P70:P80" si="35">ROUND(N70/B70,2)</f>
        <v>0.41</v>
      </c>
      <c r="Q70" s="48">
        <f t="shared" ref="Q70:Q80" si="36">ROUND(O70/D70,2)</f>
        <v>0.38</v>
      </c>
    </row>
    <row r="71" spans="1:17" x14ac:dyDescent="0.2">
      <c r="A71" t="s">
        <v>5</v>
      </c>
      <c r="B71">
        <v>135350</v>
      </c>
      <c r="C71" s="15">
        <f t="shared" si="30"/>
        <v>5.0999999999999997E-2</v>
      </c>
      <c r="D71">
        <f t="shared" ref="D71:D80" si="37">+D70+B71</f>
        <v>523471</v>
      </c>
      <c r="E71" s="2">
        <v>5510.64</v>
      </c>
      <c r="F71" s="2">
        <v>275.52999999999997</v>
      </c>
      <c r="G71" s="2">
        <f t="shared" si="31"/>
        <v>5786.17</v>
      </c>
      <c r="H71" s="41">
        <v>9.4700000000000006</v>
      </c>
      <c r="I71" s="2">
        <v>43827.22</v>
      </c>
      <c r="J71" s="2">
        <v>2191.36</v>
      </c>
      <c r="K71" s="2">
        <v>12000</v>
      </c>
      <c r="L71" s="2">
        <f t="shared" si="32"/>
        <v>58018.58</v>
      </c>
      <c r="M71" s="2">
        <f t="shared" si="33"/>
        <v>63804.75</v>
      </c>
      <c r="N71" s="4">
        <f t="shared" si="34"/>
        <v>49757.23</v>
      </c>
      <c r="O71" s="4">
        <f t="shared" ref="O71:O80" si="38">+O70+N71</f>
        <v>198270.69</v>
      </c>
      <c r="P71" s="48">
        <f t="shared" si="35"/>
        <v>0.37</v>
      </c>
      <c r="Q71" s="48">
        <f t="shared" si="36"/>
        <v>0.38</v>
      </c>
    </row>
    <row r="72" spans="1:17" x14ac:dyDescent="0.2">
      <c r="A72" t="s">
        <v>6</v>
      </c>
      <c r="B72">
        <v>133708</v>
      </c>
      <c r="C72" s="15">
        <f t="shared" si="30"/>
        <v>5.0299999999999997E-2</v>
      </c>
      <c r="D72">
        <f t="shared" si="37"/>
        <v>657179</v>
      </c>
      <c r="E72" s="2">
        <v>1052.51</v>
      </c>
      <c r="F72" s="2">
        <v>52.63</v>
      </c>
      <c r="G72" s="2">
        <f t="shared" si="31"/>
        <v>1105.1400000000001</v>
      </c>
      <c r="H72" s="41">
        <v>8.7200000000000006</v>
      </c>
      <c r="I72" s="2">
        <v>45761.42</v>
      </c>
      <c r="J72" s="2">
        <v>2288.0700000000002</v>
      </c>
      <c r="K72" s="2">
        <v>12000</v>
      </c>
      <c r="L72" s="2">
        <f t="shared" si="32"/>
        <v>60049.49</v>
      </c>
      <c r="M72" s="2">
        <f t="shared" si="33"/>
        <v>61154.63</v>
      </c>
      <c r="N72" s="4">
        <f t="shared" si="34"/>
        <v>47211.85</v>
      </c>
      <c r="O72" s="4">
        <f t="shared" si="38"/>
        <v>245482.54</v>
      </c>
      <c r="P72" s="48">
        <f t="shared" si="35"/>
        <v>0.35</v>
      </c>
      <c r="Q72" s="48">
        <f t="shared" si="36"/>
        <v>0.37</v>
      </c>
    </row>
    <row r="73" spans="1:17" x14ac:dyDescent="0.2">
      <c r="A73" t="s">
        <v>7</v>
      </c>
      <c r="B73">
        <v>135407</v>
      </c>
      <c r="C73" s="15">
        <f t="shared" si="30"/>
        <v>5.0999999999999997E-2</v>
      </c>
      <c r="D73">
        <f t="shared" si="37"/>
        <v>792586</v>
      </c>
      <c r="E73" s="2">
        <v>5276.82</v>
      </c>
      <c r="F73" s="2">
        <v>263.83999999999997</v>
      </c>
      <c r="G73" s="2">
        <f t="shared" si="31"/>
        <v>5540.66</v>
      </c>
      <c r="H73" s="41">
        <v>7.64</v>
      </c>
      <c r="I73" s="2">
        <v>53526.03</v>
      </c>
      <c r="J73" s="2">
        <v>2676.3</v>
      </c>
      <c r="K73" s="2">
        <v>12000</v>
      </c>
      <c r="L73" s="2">
        <f t="shared" si="32"/>
        <v>68202.33</v>
      </c>
      <c r="M73" s="2">
        <f t="shared" si="33"/>
        <v>73742.990000000005</v>
      </c>
      <c r="N73" s="4">
        <f t="shared" si="34"/>
        <v>59302.67</v>
      </c>
      <c r="O73" s="4">
        <f t="shared" si="38"/>
        <v>304785.21000000002</v>
      </c>
      <c r="P73" s="48">
        <f t="shared" si="35"/>
        <v>0.44</v>
      </c>
      <c r="Q73" s="48">
        <f t="shared" si="36"/>
        <v>0.38</v>
      </c>
    </row>
    <row r="74" spans="1:17" x14ac:dyDescent="0.2">
      <c r="A74" t="s">
        <v>8</v>
      </c>
      <c r="B74">
        <v>144302</v>
      </c>
      <c r="C74" s="15">
        <f t="shared" si="30"/>
        <v>5.4300000000000001E-2</v>
      </c>
      <c r="D74">
        <f t="shared" si="37"/>
        <v>936888</v>
      </c>
      <c r="E74" s="2">
        <v>5252.76</v>
      </c>
      <c r="F74" s="2">
        <v>262.64</v>
      </c>
      <c r="G74" s="2">
        <f t="shared" si="31"/>
        <v>5515.4000000000005</v>
      </c>
      <c r="H74" s="41">
        <v>7.04</v>
      </c>
      <c r="I74" s="2">
        <v>56250.54</v>
      </c>
      <c r="J74" s="2">
        <v>2812.53</v>
      </c>
      <c r="K74" s="2">
        <v>12000</v>
      </c>
      <c r="L74" s="2">
        <f t="shared" si="32"/>
        <v>71063.070000000007</v>
      </c>
      <c r="M74" s="2">
        <f t="shared" si="33"/>
        <v>76578.47</v>
      </c>
      <c r="N74" s="4">
        <f t="shared" si="34"/>
        <v>62026.079999999994</v>
      </c>
      <c r="O74" s="4">
        <f t="shared" si="38"/>
        <v>366811.29000000004</v>
      </c>
      <c r="P74" s="48">
        <f t="shared" si="35"/>
        <v>0.43</v>
      </c>
      <c r="Q74" s="48">
        <f t="shared" si="36"/>
        <v>0.39</v>
      </c>
    </row>
    <row r="75" spans="1:17" x14ac:dyDescent="0.2">
      <c r="A75" t="s">
        <v>9</v>
      </c>
      <c r="B75">
        <v>185604</v>
      </c>
      <c r="C75" s="15">
        <f t="shared" si="30"/>
        <v>6.9900000000000004E-2</v>
      </c>
      <c r="D75">
        <f t="shared" si="37"/>
        <v>1122492</v>
      </c>
      <c r="E75" s="2">
        <v>5403.66</v>
      </c>
      <c r="F75" s="2">
        <v>270.18</v>
      </c>
      <c r="G75" s="2">
        <f t="shared" si="31"/>
        <v>5673.84</v>
      </c>
      <c r="H75" s="41">
        <v>7.32</v>
      </c>
      <c r="I75" s="2">
        <v>65550.8</v>
      </c>
      <c r="J75" s="2">
        <v>3277.54</v>
      </c>
      <c r="K75" s="2">
        <v>12000</v>
      </c>
      <c r="L75" s="2">
        <f t="shared" si="32"/>
        <v>80828.34</v>
      </c>
      <c r="M75" s="2">
        <f t="shared" si="33"/>
        <v>86502.18</v>
      </c>
      <c r="N75" s="4">
        <f t="shared" si="34"/>
        <v>71557.569999999992</v>
      </c>
      <c r="O75" s="4">
        <f t="shared" si="38"/>
        <v>438368.86000000004</v>
      </c>
      <c r="P75" s="48">
        <f t="shared" si="35"/>
        <v>0.39</v>
      </c>
      <c r="Q75" s="48">
        <f t="shared" si="36"/>
        <v>0.39</v>
      </c>
    </row>
    <row r="76" spans="1:17" x14ac:dyDescent="0.2">
      <c r="A76" t="s">
        <v>10</v>
      </c>
      <c r="B76">
        <v>230759</v>
      </c>
      <c r="C76" s="15">
        <f t="shared" si="30"/>
        <v>8.6900000000000005E-2</v>
      </c>
      <c r="D76">
        <f t="shared" si="37"/>
        <v>1353251</v>
      </c>
      <c r="E76" s="2">
        <v>5667.1</v>
      </c>
      <c r="F76" s="2">
        <v>283.36</v>
      </c>
      <c r="G76" s="2">
        <f t="shared" si="31"/>
        <v>5950.46</v>
      </c>
      <c r="H76" s="41">
        <v>7.32</v>
      </c>
      <c r="I76" s="2">
        <v>79520.72</v>
      </c>
      <c r="J76" s="2">
        <v>3976.03</v>
      </c>
      <c r="K76" s="2">
        <v>12000</v>
      </c>
      <c r="L76" s="2">
        <f t="shared" si="32"/>
        <v>95496.75</v>
      </c>
      <c r="M76" s="2">
        <f t="shared" si="33"/>
        <v>101447.21</v>
      </c>
      <c r="N76" s="4">
        <f t="shared" si="34"/>
        <v>85911.92</v>
      </c>
      <c r="O76" s="4">
        <f t="shared" si="38"/>
        <v>524280.78</v>
      </c>
      <c r="P76" s="48">
        <f t="shared" si="35"/>
        <v>0.37</v>
      </c>
      <c r="Q76" s="48">
        <f t="shared" si="36"/>
        <v>0.39</v>
      </c>
    </row>
    <row r="77" spans="1:17" x14ac:dyDescent="0.2">
      <c r="A77" t="s">
        <v>11</v>
      </c>
      <c r="B77">
        <v>336025</v>
      </c>
      <c r="C77" s="15">
        <f t="shared" si="30"/>
        <v>0.1265</v>
      </c>
      <c r="D77">
        <f t="shared" si="37"/>
        <v>1689276</v>
      </c>
      <c r="E77" s="2">
        <v>5926.97</v>
      </c>
      <c r="F77" s="2">
        <v>296.35000000000002</v>
      </c>
      <c r="G77" s="2">
        <f t="shared" si="31"/>
        <v>6223.3200000000006</v>
      </c>
      <c r="H77" s="41">
        <v>7.22</v>
      </c>
      <c r="I77" s="2">
        <v>105743.09</v>
      </c>
      <c r="J77" s="2">
        <v>5287.15</v>
      </c>
      <c r="K77" s="2">
        <v>12000</v>
      </c>
      <c r="L77" s="2">
        <f t="shared" si="32"/>
        <v>123030.23999999999</v>
      </c>
      <c r="M77" s="2">
        <f t="shared" si="33"/>
        <v>129253.56</v>
      </c>
      <c r="N77" s="4">
        <f t="shared" si="34"/>
        <v>112619.26000000001</v>
      </c>
      <c r="O77" s="4">
        <f t="shared" si="38"/>
        <v>636900.04</v>
      </c>
      <c r="P77" s="48">
        <f t="shared" si="35"/>
        <v>0.34</v>
      </c>
      <c r="Q77" s="48">
        <f t="shared" si="36"/>
        <v>0.38</v>
      </c>
    </row>
    <row r="78" spans="1:17" x14ac:dyDescent="0.2">
      <c r="A78" t="s">
        <v>12</v>
      </c>
      <c r="B78">
        <v>370613</v>
      </c>
      <c r="C78" s="15">
        <f t="shared" si="30"/>
        <v>0.13950000000000001</v>
      </c>
      <c r="D78">
        <f t="shared" si="37"/>
        <v>2059889</v>
      </c>
      <c r="E78" s="2">
        <v>6686.58</v>
      </c>
      <c r="F78" s="2">
        <v>334.33</v>
      </c>
      <c r="G78" s="2">
        <f t="shared" si="31"/>
        <v>7020.91</v>
      </c>
      <c r="H78" s="41">
        <v>6.84</v>
      </c>
      <c r="I78" s="2">
        <f>101457.78+17578.88</f>
        <v>119036.66</v>
      </c>
      <c r="J78" s="2">
        <v>5072.8900000000003</v>
      </c>
      <c r="K78" s="2">
        <v>-17578.88</v>
      </c>
      <c r="L78" s="2">
        <f t="shared" si="32"/>
        <v>106530.67</v>
      </c>
      <c r="M78" s="2">
        <f t="shared" si="33"/>
        <v>113551.58</v>
      </c>
      <c r="N78" s="4">
        <f t="shared" si="34"/>
        <v>126642.47</v>
      </c>
      <c r="O78" s="4">
        <f t="shared" si="38"/>
        <v>763542.51</v>
      </c>
      <c r="P78" s="48">
        <f t="shared" si="35"/>
        <v>0.34</v>
      </c>
      <c r="Q78" s="48">
        <f t="shared" si="36"/>
        <v>0.37</v>
      </c>
    </row>
    <row r="79" spans="1:17" x14ac:dyDescent="0.2">
      <c r="A79" t="s">
        <v>13</v>
      </c>
      <c r="B79">
        <v>301862</v>
      </c>
      <c r="C79" s="15">
        <f t="shared" si="30"/>
        <v>0.1137</v>
      </c>
      <c r="D79">
        <f t="shared" si="37"/>
        <v>2361751</v>
      </c>
      <c r="E79" s="2">
        <v>5812.65</v>
      </c>
      <c r="F79" s="2">
        <v>290.63</v>
      </c>
      <c r="G79" s="2">
        <f t="shared" si="31"/>
        <v>6103.28</v>
      </c>
      <c r="H79" s="41">
        <v>6.34</v>
      </c>
      <c r="I79" s="2">
        <v>82546.91</v>
      </c>
      <c r="J79" s="2">
        <v>4127.3500000000004</v>
      </c>
      <c r="K79" s="2">
        <v>0</v>
      </c>
      <c r="L79" s="2">
        <f t="shared" si="32"/>
        <v>86674.260000000009</v>
      </c>
      <c r="M79" s="2">
        <f t="shared" si="33"/>
        <v>92777.540000000008</v>
      </c>
      <c r="N79" s="4">
        <f t="shared" si="34"/>
        <v>89110.62</v>
      </c>
      <c r="O79" s="4">
        <f t="shared" si="38"/>
        <v>852653.13</v>
      </c>
      <c r="P79" s="48">
        <f t="shared" si="35"/>
        <v>0.3</v>
      </c>
      <c r="Q79" s="48">
        <f t="shared" si="36"/>
        <v>0.36</v>
      </c>
    </row>
    <row r="80" spans="1:17" x14ac:dyDescent="0.2">
      <c r="A80" t="s">
        <v>14</v>
      </c>
      <c r="B80">
        <v>294157</v>
      </c>
      <c r="C80" s="15">
        <f t="shared" si="30"/>
        <v>0.1108</v>
      </c>
      <c r="D80">
        <f t="shared" si="37"/>
        <v>2655908</v>
      </c>
      <c r="E80" s="2">
        <v>7052.07</v>
      </c>
      <c r="F80" s="2">
        <v>352.6</v>
      </c>
      <c r="G80" s="2">
        <f t="shared" si="31"/>
        <v>7404.67</v>
      </c>
      <c r="H80" s="41">
        <v>6.08</v>
      </c>
      <c r="I80" s="2">
        <v>80576.63</v>
      </c>
      <c r="J80" s="2">
        <v>4028.83</v>
      </c>
      <c r="K80" s="2"/>
      <c r="L80" s="2">
        <f t="shared" si="32"/>
        <v>84605.46</v>
      </c>
      <c r="M80" s="2">
        <f t="shared" si="33"/>
        <v>92010.13</v>
      </c>
      <c r="N80" s="4">
        <f t="shared" si="34"/>
        <v>88373.54</v>
      </c>
      <c r="O80" s="4">
        <f t="shared" si="38"/>
        <v>941026.67</v>
      </c>
      <c r="P80" s="48">
        <f t="shared" si="35"/>
        <v>0.3</v>
      </c>
      <c r="Q80" s="48">
        <f t="shared" si="36"/>
        <v>0.35</v>
      </c>
    </row>
    <row r="81" spans="1:17" x14ac:dyDescent="0.2">
      <c r="E81" s="2"/>
      <c r="F81" s="2"/>
      <c r="G81" s="2"/>
      <c r="H81" s="40"/>
      <c r="I81" s="2"/>
      <c r="J81" s="2"/>
      <c r="K81" s="2"/>
      <c r="L81" s="2"/>
      <c r="M81" s="2"/>
      <c r="P81" s="47"/>
      <c r="Q81" s="47"/>
    </row>
    <row r="82" spans="1:17" x14ac:dyDescent="0.2">
      <c r="A82" t="s">
        <v>24</v>
      </c>
      <c r="B82">
        <f>SUM(B69:B80)</f>
        <v>2655908</v>
      </c>
      <c r="C82" s="15">
        <f>SUM(C69:C80)</f>
        <v>1.0001</v>
      </c>
      <c r="E82" s="2">
        <f>SUM(E69:E80)</f>
        <v>64546.250000000007</v>
      </c>
      <c r="F82" s="2">
        <f>SUM(F69:F80)</f>
        <v>3227.3199999999997</v>
      </c>
      <c r="G82" s="2">
        <f>SUM(G69:G80)</f>
        <v>67773.569999999992</v>
      </c>
      <c r="H82" s="40"/>
      <c r="I82" s="2">
        <f t="shared" ref="I82:N82" si="39">SUM(I69:I80)</f>
        <v>868697.26</v>
      </c>
      <c r="J82" s="2">
        <f t="shared" si="39"/>
        <v>42555.909999999996</v>
      </c>
      <c r="K82" s="2">
        <f t="shared" si="39"/>
        <v>90421.119999999995</v>
      </c>
      <c r="L82" s="2">
        <f t="shared" si="39"/>
        <v>1001674.29</v>
      </c>
      <c r="M82" s="2">
        <f t="shared" si="39"/>
        <v>1069447.8600000001</v>
      </c>
      <c r="N82" s="2">
        <f t="shared" si="39"/>
        <v>941026.67</v>
      </c>
      <c r="O82" s="2"/>
      <c r="P82" s="47">
        <f>ROUND(N82/B82,2)</f>
        <v>0.35</v>
      </c>
      <c r="Q82" s="47"/>
    </row>
    <row r="85" spans="1:17" x14ac:dyDescent="0.2">
      <c r="B85" s="32" t="s">
        <v>58</v>
      </c>
      <c r="C85" s="16"/>
      <c r="D85" s="16"/>
      <c r="E85" s="16"/>
      <c r="F85" s="16"/>
      <c r="G85" s="17"/>
      <c r="H85" s="42" t="s">
        <v>59</v>
      </c>
      <c r="I85" s="33"/>
      <c r="J85" s="33"/>
      <c r="K85" s="33"/>
      <c r="L85" s="34"/>
      <c r="P85" s="49"/>
      <c r="Q85" s="49"/>
    </row>
    <row r="86" spans="1:17" x14ac:dyDescent="0.2">
      <c r="B86" s="18"/>
      <c r="C86" s="19"/>
      <c r="D86" s="19" t="s">
        <v>30</v>
      </c>
      <c r="E86" s="19"/>
      <c r="F86" s="19"/>
      <c r="G86" s="20" t="s">
        <v>21</v>
      </c>
      <c r="H86" s="38"/>
      <c r="I86" s="35"/>
      <c r="J86" s="35"/>
      <c r="K86" s="35"/>
      <c r="L86" s="36" t="s">
        <v>21</v>
      </c>
      <c r="M86" s="3" t="s">
        <v>21</v>
      </c>
      <c r="N86" s="3" t="s">
        <v>23</v>
      </c>
      <c r="O86" s="3" t="s">
        <v>30</v>
      </c>
      <c r="P86" s="46" t="s">
        <v>25</v>
      </c>
      <c r="Q86" s="46" t="s">
        <v>32</v>
      </c>
    </row>
    <row r="87" spans="1:17" x14ac:dyDescent="0.2">
      <c r="A87" s="1" t="s">
        <v>57</v>
      </c>
      <c r="B87" s="18" t="s">
        <v>15</v>
      </c>
      <c r="C87" s="19" t="s">
        <v>44</v>
      </c>
      <c r="D87" s="19" t="s">
        <v>15</v>
      </c>
      <c r="E87" s="19" t="s">
        <v>16</v>
      </c>
      <c r="F87" s="19" t="s">
        <v>17</v>
      </c>
      <c r="G87" s="20" t="s">
        <v>16</v>
      </c>
      <c r="H87" s="39" t="s">
        <v>28</v>
      </c>
      <c r="I87" s="19" t="s">
        <v>18</v>
      </c>
      <c r="J87" s="19" t="s">
        <v>19</v>
      </c>
      <c r="K87" s="19" t="s">
        <v>20</v>
      </c>
      <c r="L87" s="20" t="s">
        <v>18</v>
      </c>
      <c r="M87" s="3" t="s">
        <v>22</v>
      </c>
      <c r="N87" s="3" t="s">
        <v>22</v>
      </c>
      <c r="O87" s="3" t="s">
        <v>34</v>
      </c>
      <c r="P87" s="46" t="s">
        <v>15</v>
      </c>
      <c r="Q87" s="46" t="s">
        <v>33</v>
      </c>
    </row>
    <row r="88" spans="1:17" x14ac:dyDescent="0.2">
      <c r="B88" s="21"/>
      <c r="C88" s="22"/>
      <c r="D88" s="22" t="s">
        <v>31</v>
      </c>
      <c r="E88" s="22"/>
      <c r="F88" s="22"/>
      <c r="G88" s="23"/>
      <c r="H88" s="39"/>
      <c r="I88" s="22"/>
      <c r="J88" s="22"/>
      <c r="K88" s="22"/>
      <c r="L88" s="23"/>
    </row>
    <row r="89" spans="1:17" x14ac:dyDescent="0.2">
      <c r="A89" t="s">
        <v>3</v>
      </c>
      <c r="B89" s="21">
        <v>226311</v>
      </c>
      <c r="C89" s="24">
        <f>ROUND(B89/$B$102,4)</f>
        <v>9.9599999999999994E-2</v>
      </c>
      <c r="D89" s="22">
        <f>+B89</f>
        <v>226311</v>
      </c>
      <c r="E89" s="25">
        <v>5733.29</v>
      </c>
      <c r="F89" s="25">
        <v>286.66000000000003</v>
      </c>
      <c r="G89" s="26">
        <f>+E89+F89</f>
        <v>6019.95</v>
      </c>
      <c r="H89" s="43">
        <v>5.76</v>
      </c>
      <c r="I89" s="25">
        <v>69763.03</v>
      </c>
      <c r="J89" s="25">
        <v>3488.15</v>
      </c>
      <c r="K89" s="25">
        <v>0</v>
      </c>
      <c r="L89" s="26">
        <f>+I89+J89+K89</f>
        <v>73251.179999999993</v>
      </c>
      <c r="M89" s="2">
        <f>+G89+L89</f>
        <v>79271.12999999999</v>
      </c>
      <c r="N89" s="4">
        <f>+E89+ROUND(F89*0.17,2)+I89+ROUND(J89*0.17,2)</f>
        <v>76138.040000000008</v>
      </c>
      <c r="O89" s="4">
        <f>+N89</f>
        <v>76138.040000000008</v>
      </c>
      <c r="P89" s="48">
        <f>ROUND(N89/B89,2)</f>
        <v>0.34</v>
      </c>
      <c r="Q89" s="48">
        <f>ROUND(O89/D89,2)</f>
        <v>0.34</v>
      </c>
    </row>
    <row r="90" spans="1:17" x14ac:dyDescent="0.2">
      <c r="A90" t="s">
        <v>4</v>
      </c>
      <c r="B90" s="21">
        <v>201892</v>
      </c>
      <c r="C90" s="24">
        <f t="shared" ref="C90:C100" si="40">ROUND(B90/$B$102,4)</f>
        <v>8.8900000000000007E-2</v>
      </c>
      <c r="D90" s="22">
        <f>+D89+B90</f>
        <v>428203</v>
      </c>
      <c r="E90" s="25">
        <v>5919.76</v>
      </c>
      <c r="F90" s="25">
        <v>295.99</v>
      </c>
      <c r="G90" s="26">
        <f t="shared" ref="G90:G100" si="41">+E90+F90</f>
        <v>6215.75</v>
      </c>
      <c r="H90" s="43">
        <v>5.82</v>
      </c>
      <c r="I90" s="25">
        <v>64462.84</v>
      </c>
      <c r="J90" s="25">
        <v>3223.14</v>
      </c>
      <c r="K90" s="25"/>
      <c r="L90" s="26">
        <f t="shared" ref="L90:L100" si="42">+I90+J90+K90</f>
        <v>67685.98</v>
      </c>
      <c r="M90" s="2">
        <f t="shared" ref="M90:M100" si="43">+G90+L90</f>
        <v>73901.73</v>
      </c>
      <c r="N90" s="4">
        <f t="shared" ref="N90:N100" si="44">+E90+ROUND(F90*0.17,2)+I90+ROUND(J90*0.17,2)</f>
        <v>70980.849999999991</v>
      </c>
      <c r="O90" s="4">
        <f>+O89+N90</f>
        <v>147118.89000000001</v>
      </c>
      <c r="P90" s="48">
        <f t="shared" ref="P90:P100" si="45">ROUND(N90/B90,2)</f>
        <v>0.35</v>
      </c>
      <c r="Q90" s="48">
        <f t="shared" ref="Q90:Q100" si="46">ROUND(O90/D90,2)</f>
        <v>0.34</v>
      </c>
    </row>
    <row r="91" spans="1:17" x14ac:dyDescent="0.2">
      <c r="A91" t="s">
        <v>5</v>
      </c>
      <c r="B91" s="21">
        <v>154727</v>
      </c>
      <c r="C91" s="24">
        <f t="shared" si="40"/>
        <v>6.8099999999999994E-2</v>
      </c>
      <c r="D91" s="22">
        <f t="shared" ref="D91:D100" si="47">+D90+B91</f>
        <v>582930</v>
      </c>
      <c r="E91" s="25">
        <v>5482.35</v>
      </c>
      <c r="F91" s="25">
        <v>274.12</v>
      </c>
      <c r="G91" s="26">
        <f t="shared" si="41"/>
        <v>5756.47</v>
      </c>
      <c r="H91" s="43">
        <v>5.59</v>
      </c>
      <c r="I91" s="25">
        <v>54855.61</v>
      </c>
      <c r="J91" s="25">
        <v>2742.78</v>
      </c>
      <c r="K91" s="25"/>
      <c r="L91" s="26">
        <f t="shared" si="42"/>
        <v>57598.39</v>
      </c>
      <c r="M91" s="2">
        <f t="shared" si="43"/>
        <v>63354.86</v>
      </c>
      <c r="N91" s="4">
        <f t="shared" si="44"/>
        <v>60850.829999999994</v>
      </c>
      <c r="O91" s="4">
        <f t="shared" ref="O91:O100" si="48">+O90+N91</f>
        <v>207969.72</v>
      </c>
      <c r="P91" s="48">
        <f t="shared" si="45"/>
        <v>0.39</v>
      </c>
      <c r="Q91" s="48">
        <f t="shared" si="46"/>
        <v>0.36</v>
      </c>
    </row>
    <row r="92" spans="1:17" x14ac:dyDescent="0.2">
      <c r="A92" t="s">
        <v>6</v>
      </c>
      <c r="B92" s="21">
        <v>138835</v>
      </c>
      <c r="C92" s="24">
        <f t="shared" si="40"/>
        <v>6.1100000000000002E-2</v>
      </c>
      <c r="D92" s="22">
        <f t="shared" si="47"/>
        <v>721765</v>
      </c>
      <c r="E92" s="25">
        <v>2149.61</v>
      </c>
      <c r="F92" s="25">
        <v>107.48</v>
      </c>
      <c r="G92" s="26">
        <f t="shared" si="41"/>
        <v>2257.09</v>
      </c>
      <c r="H92" s="43">
        <v>5.49</v>
      </c>
      <c r="I92" s="25">
        <v>57170.04</v>
      </c>
      <c r="J92" s="25">
        <v>2858.5</v>
      </c>
      <c r="K92" s="25"/>
      <c r="L92" s="26">
        <f t="shared" si="42"/>
        <v>60028.54</v>
      </c>
      <c r="M92" s="2">
        <f t="shared" si="43"/>
        <v>62285.630000000005</v>
      </c>
      <c r="N92" s="4">
        <f t="shared" si="44"/>
        <v>59823.869999999995</v>
      </c>
      <c r="O92" s="4">
        <f t="shared" si="48"/>
        <v>267793.58999999997</v>
      </c>
      <c r="P92" s="48">
        <f t="shared" si="45"/>
        <v>0.43</v>
      </c>
      <c r="Q92" s="48">
        <f t="shared" si="46"/>
        <v>0.37</v>
      </c>
    </row>
    <row r="93" spans="1:17" x14ac:dyDescent="0.2">
      <c r="A93" t="s">
        <v>7</v>
      </c>
      <c r="B93" s="21">
        <v>126399</v>
      </c>
      <c r="C93" s="24">
        <f t="shared" si="40"/>
        <v>5.5599999999999997E-2</v>
      </c>
      <c r="D93" s="22">
        <f t="shared" si="47"/>
        <v>848164</v>
      </c>
      <c r="E93" s="25">
        <v>5312.09</v>
      </c>
      <c r="F93" s="25">
        <v>265.60000000000002</v>
      </c>
      <c r="G93" s="26">
        <f t="shared" si="41"/>
        <v>5577.6900000000005</v>
      </c>
      <c r="H93" s="43">
        <v>5.37</v>
      </c>
      <c r="I93" s="25">
        <v>54986.04</v>
      </c>
      <c r="J93" s="25">
        <v>2749.3</v>
      </c>
      <c r="K93" s="25"/>
      <c r="L93" s="26">
        <f t="shared" si="42"/>
        <v>57735.340000000004</v>
      </c>
      <c r="M93" s="2">
        <f t="shared" si="43"/>
        <v>63313.030000000006</v>
      </c>
      <c r="N93" s="4">
        <f t="shared" si="44"/>
        <v>60810.659999999996</v>
      </c>
      <c r="O93" s="4">
        <f t="shared" si="48"/>
        <v>328604.24999999994</v>
      </c>
      <c r="P93" s="48">
        <f t="shared" si="45"/>
        <v>0.48</v>
      </c>
      <c r="Q93" s="48">
        <f t="shared" si="46"/>
        <v>0.39</v>
      </c>
    </row>
    <row r="94" spans="1:17" x14ac:dyDescent="0.2">
      <c r="A94" t="s">
        <v>8</v>
      </c>
      <c r="B94" s="21">
        <v>132631</v>
      </c>
      <c r="C94" s="24">
        <f t="shared" si="40"/>
        <v>5.8400000000000001E-2</v>
      </c>
      <c r="D94" s="22">
        <f t="shared" si="47"/>
        <v>980795</v>
      </c>
      <c r="E94" s="25">
        <v>5331.12</v>
      </c>
      <c r="F94" s="25">
        <v>266.56</v>
      </c>
      <c r="G94" s="26">
        <f t="shared" si="41"/>
        <v>5597.68</v>
      </c>
      <c r="H94" s="43">
        <v>5.59</v>
      </c>
      <c r="I94" s="25">
        <v>57137.23</v>
      </c>
      <c r="J94" s="25">
        <v>2856.86</v>
      </c>
      <c r="K94" s="25"/>
      <c r="L94" s="26">
        <f t="shared" si="42"/>
        <v>59994.090000000004</v>
      </c>
      <c r="M94" s="2">
        <f t="shared" si="43"/>
        <v>65591.77</v>
      </c>
      <c r="N94" s="4">
        <f t="shared" si="44"/>
        <v>62999.340000000004</v>
      </c>
      <c r="O94" s="4">
        <f t="shared" si="48"/>
        <v>391603.58999999997</v>
      </c>
      <c r="P94" s="48">
        <f t="shared" si="45"/>
        <v>0.47</v>
      </c>
      <c r="Q94" s="48">
        <f t="shared" si="46"/>
        <v>0.4</v>
      </c>
    </row>
    <row r="95" spans="1:17" x14ac:dyDescent="0.2">
      <c r="A95" t="s">
        <v>9</v>
      </c>
      <c r="B95" s="21">
        <v>159118</v>
      </c>
      <c r="C95" s="24">
        <f t="shared" si="40"/>
        <v>7.0000000000000007E-2</v>
      </c>
      <c r="D95" s="22">
        <f t="shared" si="47"/>
        <v>1139913</v>
      </c>
      <c r="E95" s="25">
        <v>2111.9299999999998</v>
      </c>
      <c r="F95" s="25">
        <v>105.6</v>
      </c>
      <c r="G95" s="26">
        <f t="shared" si="41"/>
        <v>2217.5299999999997</v>
      </c>
      <c r="H95" s="43">
        <v>6.16</v>
      </c>
      <c r="I95" s="25">
        <v>64532.46</v>
      </c>
      <c r="J95" s="25">
        <v>3226.62</v>
      </c>
      <c r="K95" s="25"/>
      <c r="L95" s="26">
        <f t="shared" si="42"/>
        <v>67759.08</v>
      </c>
      <c r="M95" s="2">
        <f t="shared" si="43"/>
        <v>69976.61</v>
      </c>
      <c r="N95" s="4">
        <f t="shared" si="44"/>
        <v>67210.87</v>
      </c>
      <c r="O95" s="4">
        <f t="shared" si="48"/>
        <v>458814.45999999996</v>
      </c>
      <c r="P95" s="48">
        <f t="shared" si="45"/>
        <v>0.42</v>
      </c>
      <c r="Q95" s="48">
        <f t="shared" si="46"/>
        <v>0.4</v>
      </c>
    </row>
    <row r="96" spans="1:17" x14ac:dyDescent="0.2">
      <c r="A96" t="s">
        <v>10</v>
      </c>
      <c r="B96" s="21">
        <v>181380</v>
      </c>
      <c r="C96" s="24">
        <f t="shared" si="40"/>
        <v>7.9799999999999996E-2</v>
      </c>
      <c r="D96" s="22">
        <f t="shared" si="47"/>
        <v>1321293</v>
      </c>
      <c r="E96" s="25">
        <v>5488.25</v>
      </c>
      <c r="F96" s="25">
        <v>274.41000000000003</v>
      </c>
      <c r="G96" s="26">
        <f t="shared" si="41"/>
        <v>5762.66</v>
      </c>
      <c r="H96" s="43">
        <v>3.51</v>
      </c>
      <c r="I96" s="25">
        <v>35960.620000000003</v>
      </c>
      <c r="J96" s="25">
        <v>1798.03</v>
      </c>
      <c r="K96" s="25"/>
      <c r="L96" s="26">
        <f t="shared" si="42"/>
        <v>37758.65</v>
      </c>
      <c r="M96" s="2">
        <f t="shared" si="43"/>
        <v>43521.31</v>
      </c>
      <c r="N96" s="4">
        <f t="shared" si="44"/>
        <v>41801.19</v>
      </c>
      <c r="O96" s="4">
        <f t="shared" si="48"/>
        <v>500615.64999999997</v>
      </c>
      <c r="P96" s="48">
        <f t="shared" si="45"/>
        <v>0.23</v>
      </c>
      <c r="Q96" s="48">
        <f t="shared" si="46"/>
        <v>0.38</v>
      </c>
    </row>
    <row r="97" spans="1:17" x14ac:dyDescent="0.2">
      <c r="A97" t="s">
        <v>11</v>
      </c>
      <c r="B97" s="21">
        <v>255970</v>
      </c>
      <c r="C97" s="24">
        <f t="shared" si="40"/>
        <v>0.11269999999999999</v>
      </c>
      <c r="D97" s="22">
        <f t="shared" si="47"/>
        <v>1577263</v>
      </c>
      <c r="E97" s="25">
        <v>5802.25</v>
      </c>
      <c r="F97" s="25">
        <v>290.11</v>
      </c>
      <c r="G97" s="26">
        <f t="shared" si="41"/>
        <v>6092.36</v>
      </c>
      <c r="H97" s="43">
        <v>5.27</v>
      </c>
      <c r="I97" s="25">
        <v>71230.350000000006</v>
      </c>
      <c r="J97" s="25">
        <v>3561.52</v>
      </c>
      <c r="K97" s="25"/>
      <c r="L97" s="26">
        <f t="shared" si="42"/>
        <v>74791.87000000001</v>
      </c>
      <c r="M97" s="2">
        <f t="shared" si="43"/>
        <v>80884.23000000001</v>
      </c>
      <c r="N97" s="4">
        <f t="shared" si="44"/>
        <v>77687.380000000019</v>
      </c>
      <c r="O97" s="4">
        <f t="shared" si="48"/>
        <v>578303.03</v>
      </c>
      <c r="P97" s="48">
        <f t="shared" si="45"/>
        <v>0.3</v>
      </c>
      <c r="Q97" s="48">
        <f t="shared" si="46"/>
        <v>0.37</v>
      </c>
    </row>
    <row r="98" spans="1:17" x14ac:dyDescent="0.2">
      <c r="A98" t="s">
        <v>12</v>
      </c>
      <c r="B98" s="21">
        <v>259965</v>
      </c>
      <c r="C98" s="24">
        <f t="shared" si="40"/>
        <v>0.1144</v>
      </c>
      <c r="D98" s="22">
        <f t="shared" si="47"/>
        <v>1837228</v>
      </c>
      <c r="E98" s="25">
        <v>6508.38</v>
      </c>
      <c r="F98" s="25">
        <v>325.42</v>
      </c>
      <c r="G98" s="26">
        <f t="shared" si="41"/>
        <v>6833.8</v>
      </c>
      <c r="H98" s="43">
        <v>5.33</v>
      </c>
      <c r="I98" s="25">
        <v>64146.63</v>
      </c>
      <c r="J98" s="25">
        <v>3207.33</v>
      </c>
      <c r="K98" s="25"/>
      <c r="L98" s="26">
        <f t="shared" si="42"/>
        <v>67353.959999999992</v>
      </c>
      <c r="M98" s="2">
        <f t="shared" si="43"/>
        <v>74187.759999999995</v>
      </c>
      <c r="N98" s="4">
        <f t="shared" si="44"/>
        <v>71255.58</v>
      </c>
      <c r="O98" s="4">
        <f t="shared" si="48"/>
        <v>649558.61</v>
      </c>
      <c r="P98" s="48">
        <f t="shared" si="45"/>
        <v>0.27</v>
      </c>
      <c r="Q98" s="48">
        <f t="shared" si="46"/>
        <v>0.35</v>
      </c>
    </row>
    <row r="99" spans="1:17" x14ac:dyDescent="0.2">
      <c r="A99" t="s">
        <v>13</v>
      </c>
      <c r="B99" s="21">
        <v>227473</v>
      </c>
      <c r="C99" s="24">
        <f t="shared" si="40"/>
        <v>0.10009999999999999</v>
      </c>
      <c r="D99" s="22">
        <f t="shared" si="47"/>
        <v>2064701</v>
      </c>
      <c r="E99" s="25">
        <v>6030.95</v>
      </c>
      <c r="F99" s="25">
        <v>301.55</v>
      </c>
      <c r="G99" s="26">
        <f t="shared" si="41"/>
        <v>6332.5</v>
      </c>
      <c r="H99" s="43">
        <v>4.97</v>
      </c>
      <c r="I99" s="25">
        <v>57676.41</v>
      </c>
      <c r="J99" s="25">
        <v>2883.82</v>
      </c>
      <c r="K99" s="25"/>
      <c r="L99" s="26">
        <f t="shared" si="42"/>
        <v>60560.23</v>
      </c>
      <c r="M99" s="2">
        <f t="shared" si="43"/>
        <v>66892.73000000001</v>
      </c>
      <c r="N99" s="4">
        <f t="shared" si="44"/>
        <v>64248.87</v>
      </c>
      <c r="O99" s="4">
        <f t="shared" si="48"/>
        <v>713807.48</v>
      </c>
      <c r="P99" s="48">
        <f t="shared" si="45"/>
        <v>0.28000000000000003</v>
      </c>
      <c r="Q99" s="48">
        <f t="shared" si="46"/>
        <v>0.35</v>
      </c>
    </row>
    <row r="100" spans="1:17" x14ac:dyDescent="0.2">
      <c r="A100" t="s">
        <v>14</v>
      </c>
      <c r="B100" s="21">
        <v>207303</v>
      </c>
      <c r="C100" s="24">
        <f t="shared" si="40"/>
        <v>9.1200000000000003E-2</v>
      </c>
      <c r="D100" s="22">
        <f t="shared" si="47"/>
        <v>2272004</v>
      </c>
      <c r="E100" s="25">
        <v>5617.15</v>
      </c>
      <c r="F100" s="25">
        <v>280.86</v>
      </c>
      <c r="G100" s="26">
        <f t="shared" si="41"/>
        <v>5898.0099999999993</v>
      </c>
      <c r="H100" s="43">
        <v>3.9</v>
      </c>
      <c r="I100" s="25">
        <v>47749.39</v>
      </c>
      <c r="J100" s="25">
        <v>2237.4699999999998</v>
      </c>
      <c r="K100" s="25"/>
      <c r="L100" s="26">
        <f t="shared" si="42"/>
        <v>49986.86</v>
      </c>
      <c r="M100" s="2">
        <f t="shared" si="43"/>
        <v>55884.87</v>
      </c>
      <c r="N100" s="4">
        <f t="shared" si="44"/>
        <v>53794.66</v>
      </c>
      <c r="O100" s="4">
        <f t="shared" si="48"/>
        <v>767602.14</v>
      </c>
      <c r="P100" s="48">
        <f t="shared" si="45"/>
        <v>0.26</v>
      </c>
      <c r="Q100" s="48">
        <f t="shared" si="46"/>
        <v>0.34</v>
      </c>
    </row>
    <row r="101" spans="1:17" x14ac:dyDescent="0.2">
      <c r="B101" s="21"/>
      <c r="C101" s="22"/>
      <c r="D101" s="22"/>
      <c r="E101" s="25"/>
      <c r="F101" s="25"/>
      <c r="G101" s="26"/>
      <c r="H101" s="44"/>
      <c r="I101" s="25"/>
      <c r="J101" s="25"/>
      <c r="K101" s="25"/>
      <c r="L101" s="26"/>
      <c r="M101" s="2"/>
      <c r="P101" s="47"/>
      <c r="Q101" s="47"/>
    </row>
    <row r="102" spans="1:17" x14ac:dyDescent="0.2">
      <c r="A102" t="s">
        <v>24</v>
      </c>
      <c r="B102" s="27">
        <f>SUM(B89:B100)</f>
        <v>2272004</v>
      </c>
      <c r="C102" s="28">
        <f>SUM(C89:C100)</f>
        <v>0.99990000000000001</v>
      </c>
      <c r="D102" s="29"/>
      <c r="E102" s="30">
        <f>SUM(E89:E100)</f>
        <v>61487.13</v>
      </c>
      <c r="F102" s="30">
        <f>SUM(F89:F100)</f>
        <v>3074.3600000000006</v>
      </c>
      <c r="G102" s="31">
        <f>SUM(G89:G100)</f>
        <v>64561.490000000013</v>
      </c>
      <c r="H102" s="45"/>
      <c r="I102" s="30">
        <f t="shared" ref="I102:N102" si="49">SUM(I89:I100)</f>
        <v>699670.65</v>
      </c>
      <c r="J102" s="30">
        <f t="shared" si="49"/>
        <v>34833.519999999997</v>
      </c>
      <c r="K102" s="30">
        <f t="shared" si="49"/>
        <v>0</v>
      </c>
      <c r="L102" s="31">
        <f t="shared" si="49"/>
        <v>734504.17</v>
      </c>
      <c r="M102" s="2">
        <f t="shared" si="49"/>
        <v>799065.66</v>
      </c>
      <c r="N102" s="2">
        <f t="shared" si="49"/>
        <v>767602.14</v>
      </c>
      <c r="O102" s="2"/>
      <c r="P102" s="47">
        <f>ROUND(N102/B102,2)</f>
        <v>0.34</v>
      </c>
      <c r="Q102" s="47"/>
    </row>
    <row r="105" spans="1:17" x14ac:dyDescent="0.2">
      <c r="B105" s="32" t="s">
        <v>58</v>
      </c>
      <c r="C105" s="16"/>
      <c r="D105" s="16"/>
      <c r="E105" s="16"/>
      <c r="F105" s="16"/>
      <c r="G105" s="17"/>
      <c r="H105" s="42" t="s">
        <v>59</v>
      </c>
      <c r="I105" s="33"/>
      <c r="J105" s="33"/>
      <c r="K105" s="33"/>
      <c r="L105" s="34"/>
      <c r="P105" s="49"/>
      <c r="Q105" s="49"/>
    </row>
    <row r="106" spans="1:17" x14ac:dyDescent="0.2">
      <c r="B106" s="79" t="s">
        <v>123</v>
      </c>
      <c r="C106" s="19"/>
      <c r="D106" s="19" t="s">
        <v>30</v>
      </c>
      <c r="E106" s="19"/>
      <c r="F106" s="19"/>
      <c r="G106" s="20" t="s">
        <v>21</v>
      </c>
      <c r="H106" s="38"/>
      <c r="I106" s="35"/>
      <c r="J106" s="35"/>
      <c r="K106" s="35"/>
      <c r="L106" s="36" t="s">
        <v>21</v>
      </c>
      <c r="M106" s="3" t="s">
        <v>21</v>
      </c>
      <c r="N106" s="3" t="s">
        <v>23</v>
      </c>
      <c r="O106" s="3" t="s">
        <v>30</v>
      </c>
      <c r="P106" s="46" t="s">
        <v>25</v>
      </c>
      <c r="Q106" s="46" t="s">
        <v>32</v>
      </c>
    </row>
    <row r="107" spans="1:17" x14ac:dyDescent="0.2">
      <c r="A107" s="1" t="s">
        <v>61</v>
      </c>
      <c r="B107" s="18" t="s">
        <v>15</v>
      </c>
      <c r="C107" s="19" t="s">
        <v>44</v>
      </c>
      <c r="D107" s="19" t="s">
        <v>15</v>
      </c>
      <c r="E107" s="19" t="s">
        <v>16</v>
      </c>
      <c r="F107" s="19" t="s">
        <v>62</v>
      </c>
      <c r="G107" s="20" t="s">
        <v>16</v>
      </c>
      <c r="H107" s="39" t="s">
        <v>28</v>
      </c>
      <c r="I107" s="19" t="s">
        <v>18</v>
      </c>
      <c r="J107" s="19" t="s">
        <v>63</v>
      </c>
      <c r="K107" s="19" t="s">
        <v>20</v>
      </c>
      <c r="L107" s="20" t="s">
        <v>18</v>
      </c>
      <c r="M107" s="3" t="s">
        <v>22</v>
      </c>
      <c r="N107" s="3" t="s">
        <v>22</v>
      </c>
      <c r="O107" s="3" t="s">
        <v>34</v>
      </c>
      <c r="P107" s="46" t="s">
        <v>15</v>
      </c>
      <c r="Q107" s="46" t="s">
        <v>33</v>
      </c>
    </row>
    <row r="108" spans="1:17" x14ac:dyDescent="0.2">
      <c r="B108" s="21"/>
      <c r="C108" s="22"/>
      <c r="D108" s="22" t="s">
        <v>31</v>
      </c>
      <c r="E108" s="22"/>
      <c r="F108" s="22"/>
      <c r="G108" s="23"/>
      <c r="H108" s="39"/>
      <c r="I108" s="22"/>
      <c r="J108" s="22"/>
      <c r="K108" s="22"/>
      <c r="L108" s="23"/>
    </row>
    <row r="109" spans="1:17" x14ac:dyDescent="0.2">
      <c r="A109" t="s">
        <v>3</v>
      </c>
      <c r="B109" s="21">
        <v>165236</v>
      </c>
      <c r="C109" s="24">
        <f t="shared" ref="C109:C120" si="50">ROUND(B109/$B$122,4)</f>
        <v>8.0399999999999999E-2</v>
      </c>
      <c r="D109" s="22">
        <f>+B109</f>
        <v>165236</v>
      </c>
      <c r="E109" s="25">
        <v>5596.03</v>
      </c>
      <c r="F109" s="25">
        <v>279.8</v>
      </c>
      <c r="G109" s="26">
        <f>+E109+F109</f>
        <v>5875.83</v>
      </c>
      <c r="H109" s="43">
        <v>3.56</v>
      </c>
      <c r="I109" s="25">
        <v>34788.559999999998</v>
      </c>
      <c r="J109" s="25">
        <v>1739.43</v>
      </c>
      <c r="K109" s="25">
        <v>0</v>
      </c>
      <c r="L109" s="26">
        <f>+I109+J109+K109</f>
        <v>36527.99</v>
      </c>
      <c r="M109" s="2">
        <f>+G109+L109</f>
        <v>42403.82</v>
      </c>
      <c r="N109" s="4">
        <f>+E109+ROUND(F109*0.17,2)+I109+ROUND(J109*0.17,2)</f>
        <v>40727.859999999993</v>
      </c>
      <c r="O109" s="4">
        <f>+N109</f>
        <v>40727.859999999993</v>
      </c>
      <c r="P109" s="48">
        <f>IF(B109="","",ROUND(N109/B109,2))</f>
        <v>0.25</v>
      </c>
      <c r="Q109" s="48">
        <f>ROUND(O109/D109,2)</f>
        <v>0.25</v>
      </c>
    </row>
    <row r="110" spans="1:17" x14ac:dyDescent="0.2">
      <c r="A110" t="s">
        <v>4</v>
      </c>
      <c r="B110" s="21">
        <v>125719</v>
      </c>
      <c r="C110" s="24">
        <f t="shared" si="50"/>
        <v>6.1100000000000002E-2</v>
      </c>
      <c r="D110" s="22">
        <f>+D109+B110</f>
        <v>290955</v>
      </c>
      <c r="E110" s="25">
        <v>5339.11</v>
      </c>
      <c r="F110" s="25">
        <v>266.95999999999998</v>
      </c>
      <c r="G110" s="26">
        <f t="shared" ref="G110:G120" si="51">+E110+F110</f>
        <v>5606.07</v>
      </c>
      <c r="H110" s="43">
        <v>3.68</v>
      </c>
      <c r="I110" s="25">
        <v>28096.1</v>
      </c>
      <c r="J110" s="25">
        <v>1404.81</v>
      </c>
      <c r="K110" s="25"/>
      <c r="L110" s="26">
        <f t="shared" ref="L110:L120" si="52">+I110+J110+K110</f>
        <v>29500.91</v>
      </c>
      <c r="M110" s="2">
        <f t="shared" ref="M110:M120" si="53">+G110+L110</f>
        <v>35106.979999999996</v>
      </c>
      <c r="N110" s="4">
        <f t="shared" ref="N110:N111" si="54">+E110+ROUND(F110*0.17,2)+I110+ROUND(J110*0.17,2)</f>
        <v>33719.409999999996</v>
      </c>
      <c r="O110" s="4">
        <f>+O109+N110</f>
        <v>74447.26999999999</v>
      </c>
      <c r="P110" s="48">
        <f t="shared" ref="P110:P120" si="55">IF(B110="","",ROUND(N110/B110,2))</f>
        <v>0.27</v>
      </c>
      <c r="Q110" s="48">
        <f t="shared" ref="Q110:Q120" si="56">ROUND(O110/D110,2)</f>
        <v>0.26</v>
      </c>
    </row>
    <row r="111" spans="1:17" x14ac:dyDescent="0.2">
      <c r="A111" t="s">
        <v>5</v>
      </c>
      <c r="B111" s="21">
        <v>98638</v>
      </c>
      <c r="C111" s="24">
        <f t="shared" si="50"/>
        <v>4.8000000000000001E-2</v>
      </c>
      <c r="D111" s="22">
        <f t="shared" ref="D111:D120" si="57">+D110+B111</f>
        <v>389593</v>
      </c>
      <c r="E111" s="25">
        <v>5280.58</v>
      </c>
      <c r="F111" s="25">
        <v>264.02999999999997</v>
      </c>
      <c r="G111" s="26">
        <f t="shared" si="51"/>
        <v>5544.61</v>
      </c>
      <c r="H111" s="43">
        <v>3.96</v>
      </c>
      <c r="I111" s="25">
        <v>24913.53</v>
      </c>
      <c r="J111" s="25">
        <v>1245.68</v>
      </c>
      <c r="K111" s="25"/>
      <c r="L111" s="26">
        <f t="shared" si="52"/>
        <v>26159.21</v>
      </c>
      <c r="M111" s="2">
        <f t="shared" si="53"/>
        <v>31703.82</v>
      </c>
      <c r="N111" s="4">
        <f t="shared" si="54"/>
        <v>30450.77</v>
      </c>
      <c r="O111" s="4">
        <f t="shared" ref="O111:O120" si="58">+O110+N111</f>
        <v>104898.04</v>
      </c>
      <c r="P111" s="48">
        <f t="shared" si="55"/>
        <v>0.31</v>
      </c>
      <c r="Q111" s="48">
        <f t="shared" si="56"/>
        <v>0.27</v>
      </c>
    </row>
    <row r="112" spans="1:17" x14ac:dyDescent="0.2">
      <c r="A112" t="s">
        <v>6</v>
      </c>
      <c r="B112" s="21">
        <v>94247</v>
      </c>
      <c r="C112" s="24">
        <f t="shared" si="50"/>
        <v>4.58E-2</v>
      </c>
      <c r="D112" s="22">
        <f t="shared" si="57"/>
        <v>483840</v>
      </c>
      <c r="E112" s="25">
        <v>5238.43</v>
      </c>
      <c r="F112" s="25">
        <f>673.28+2.97</f>
        <v>676.25</v>
      </c>
      <c r="G112" s="26">
        <f t="shared" si="51"/>
        <v>5914.68</v>
      </c>
      <c r="H112" s="43">
        <v>3.51</v>
      </c>
      <c r="I112" s="25">
        <v>19379.29</v>
      </c>
      <c r="J112" s="25">
        <v>2519.31</v>
      </c>
      <c r="K112" s="25"/>
      <c r="L112" s="26">
        <f t="shared" si="52"/>
        <v>21898.600000000002</v>
      </c>
      <c r="M112" s="2">
        <f t="shared" si="53"/>
        <v>27813.280000000002</v>
      </c>
      <c r="N112" s="4">
        <f t="shared" ref="N112:N120" si="59">+E112+ROUND(F112*0.145,2)+I112+ROUND(J112*0.145,2)</f>
        <v>25081.08</v>
      </c>
      <c r="O112" s="4">
        <f t="shared" si="58"/>
        <v>129979.12</v>
      </c>
      <c r="P112" s="48">
        <f t="shared" si="55"/>
        <v>0.27</v>
      </c>
      <c r="Q112" s="48">
        <f t="shared" si="56"/>
        <v>0.27</v>
      </c>
    </row>
    <row r="113" spans="1:17" x14ac:dyDescent="0.2">
      <c r="A113" t="s">
        <v>7</v>
      </c>
      <c r="B113" s="21">
        <v>95805</v>
      </c>
      <c r="C113" s="24">
        <f t="shared" si="50"/>
        <v>4.6600000000000003E-2</v>
      </c>
      <c r="D113" s="22">
        <f t="shared" si="57"/>
        <v>579645</v>
      </c>
      <c r="E113" s="25">
        <v>5276.21</v>
      </c>
      <c r="F113" s="25">
        <v>685.91</v>
      </c>
      <c r="G113" s="26">
        <f t="shared" si="51"/>
        <v>5962.12</v>
      </c>
      <c r="H113" s="43">
        <v>3.26</v>
      </c>
      <c r="I113" s="25">
        <v>19311.03</v>
      </c>
      <c r="J113" s="25">
        <f>2510.43-9.33</f>
        <v>2501.1</v>
      </c>
      <c r="K113" s="25"/>
      <c r="L113" s="26">
        <f t="shared" si="52"/>
        <v>21812.129999999997</v>
      </c>
      <c r="M113" s="2">
        <f t="shared" si="53"/>
        <v>27774.249999999996</v>
      </c>
      <c r="N113" s="4">
        <f t="shared" si="59"/>
        <v>25049.359999999997</v>
      </c>
      <c r="O113" s="4">
        <f t="shared" si="58"/>
        <v>155028.47999999998</v>
      </c>
      <c r="P113" s="48">
        <f t="shared" si="55"/>
        <v>0.26</v>
      </c>
      <c r="Q113" s="48">
        <f t="shared" si="56"/>
        <v>0.27</v>
      </c>
    </row>
    <row r="114" spans="1:17" x14ac:dyDescent="0.2">
      <c r="A114" t="s">
        <v>8</v>
      </c>
      <c r="B114" s="21">
        <v>107023</v>
      </c>
      <c r="C114" s="24">
        <f t="shared" si="50"/>
        <v>5.1999999999999998E-2</v>
      </c>
      <c r="D114" s="22">
        <f t="shared" si="57"/>
        <v>686668</v>
      </c>
      <c r="E114" s="25">
        <v>5332.45</v>
      </c>
      <c r="F114" s="25">
        <v>693.22</v>
      </c>
      <c r="G114" s="26">
        <f t="shared" si="51"/>
        <v>6025.67</v>
      </c>
      <c r="H114" s="43">
        <v>3.43</v>
      </c>
      <c r="I114" s="25">
        <v>26356.15</v>
      </c>
      <c r="J114" s="25">
        <v>3426.3</v>
      </c>
      <c r="K114" s="25"/>
      <c r="L114" s="26">
        <f t="shared" si="52"/>
        <v>29782.45</v>
      </c>
      <c r="M114" s="2">
        <f t="shared" si="53"/>
        <v>35808.120000000003</v>
      </c>
      <c r="N114" s="4">
        <f t="shared" si="59"/>
        <v>32285.930000000004</v>
      </c>
      <c r="O114" s="4">
        <f t="shared" si="58"/>
        <v>187314.40999999997</v>
      </c>
      <c r="P114" s="48">
        <f t="shared" si="55"/>
        <v>0.3</v>
      </c>
      <c r="Q114" s="48">
        <f t="shared" si="56"/>
        <v>0.27</v>
      </c>
    </row>
    <row r="115" spans="1:17" x14ac:dyDescent="0.2">
      <c r="A115" t="s">
        <v>9</v>
      </c>
      <c r="B115" s="21">
        <v>163112</v>
      </c>
      <c r="C115" s="24">
        <f t="shared" si="50"/>
        <v>7.9299999999999995E-2</v>
      </c>
      <c r="D115" s="22">
        <f t="shared" si="57"/>
        <v>849780</v>
      </c>
      <c r="E115" s="25">
        <v>2548.91</v>
      </c>
      <c r="F115" s="25">
        <v>571.70000000000005</v>
      </c>
      <c r="G115" s="26">
        <f t="shared" si="51"/>
        <v>3120.6099999999997</v>
      </c>
      <c r="H115" s="43">
        <v>3.16</v>
      </c>
      <c r="I115" s="25">
        <v>32299.58</v>
      </c>
      <c r="J115" s="25">
        <v>4198.95</v>
      </c>
      <c r="K115" s="25"/>
      <c r="L115" s="26">
        <f t="shared" si="52"/>
        <v>36498.53</v>
      </c>
      <c r="M115" s="2">
        <f t="shared" si="53"/>
        <v>39619.14</v>
      </c>
      <c r="N115" s="4">
        <f t="shared" si="59"/>
        <v>35540.239999999998</v>
      </c>
      <c r="O115" s="4">
        <f t="shared" si="58"/>
        <v>222854.64999999997</v>
      </c>
      <c r="P115" s="48">
        <f t="shared" si="55"/>
        <v>0.22</v>
      </c>
      <c r="Q115" s="48">
        <f t="shared" si="56"/>
        <v>0.26</v>
      </c>
    </row>
    <row r="116" spans="1:17" x14ac:dyDescent="0.2">
      <c r="A116" t="s">
        <v>10</v>
      </c>
      <c r="B116" s="21">
        <v>195066</v>
      </c>
      <c r="C116" s="24">
        <f t="shared" si="50"/>
        <v>9.4899999999999998E-2</v>
      </c>
      <c r="D116" s="22">
        <f t="shared" si="57"/>
        <v>1044846</v>
      </c>
      <c r="E116" s="25">
        <v>5583.53</v>
      </c>
      <c r="F116" s="25">
        <v>725.86</v>
      </c>
      <c r="G116" s="26">
        <f t="shared" si="51"/>
        <v>6309.3899999999994</v>
      </c>
      <c r="H116" s="43">
        <v>3.53</v>
      </c>
      <c r="I116" s="25">
        <v>42660.800000000003</v>
      </c>
      <c r="J116" s="25">
        <v>5545.9</v>
      </c>
      <c r="K116" s="25"/>
      <c r="L116" s="26">
        <f t="shared" si="52"/>
        <v>48206.700000000004</v>
      </c>
      <c r="M116" s="2">
        <f t="shared" si="53"/>
        <v>54516.090000000004</v>
      </c>
      <c r="N116" s="4">
        <f t="shared" si="59"/>
        <v>49153.740000000005</v>
      </c>
      <c r="O116" s="4">
        <f t="shared" si="58"/>
        <v>272008.38999999996</v>
      </c>
      <c r="P116" s="48">
        <f t="shared" si="55"/>
        <v>0.25</v>
      </c>
      <c r="Q116" s="48">
        <f t="shared" si="56"/>
        <v>0.26</v>
      </c>
    </row>
    <row r="117" spans="1:17" x14ac:dyDescent="0.2">
      <c r="A117" t="s">
        <v>11</v>
      </c>
      <c r="B117" s="21">
        <v>241665</v>
      </c>
      <c r="C117" s="24">
        <f t="shared" si="50"/>
        <v>0.11749999999999999</v>
      </c>
      <c r="D117" s="22">
        <f t="shared" si="57"/>
        <v>1286511</v>
      </c>
      <c r="E117" s="25">
        <v>6108.56</v>
      </c>
      <c r="F117" s="25">
        <v>794.11</v>
      </c>
      <c r="G117" s="26">
        <f t="shared" si="51"/>
        <v>6902.67</v>
      </c>
      <c r="H117" s="43">
        <v>3.66</v>
      </c>
      <c r="I117" s="25">
        <v>35344.54</v>
      </c>
      <c r="J117" s="25">
        <v>4594.79</v>
      </c>
      <c r="K117" s="25"/>
      <c r="L117" s="26">
        <f t="shared" si="52"/>
        <v>39939.33</v>
      </c>
      <c r="M117" s="2">
        <f t="shared" si="53"/>
        <v>46842</v>
      </c>
      <c r="N117" s="4">
        <f t="shared" si="59"/>
        <v>42234.49</v>
      </c>
      <c r="O117" s="4">
        <f t="shared" si="58"/>
        <v>314242.87999999995</v>
      </c>
      <c r="P117" s="48">
        <f t="shared" si="55"/>
        <v>0.17</v>
      </c>
      <c r="Q117" s="48">
        <f t="shared" si="56"/>
        <v>0.24</v>
      </c>
    </row>
    <row r="118" spans="1:17" x14ac:dyDescent="0.2">
      <c r="A118" t="s">
        <v>12</v>
      </c>
      <c r="B118" s="21">
        <v>289114</v>
      </c>
      <c r="C118" s="24">
        <f t="shared" si="50"/>
        <v>0.1406</v>
      </c>
      <c r="D118" s="22">
        <f t="shared" si="57"/>
        <v>1575625</v>
      </c>
      <c r="E118" s="25">
        <v>6138.34</v>
      </c>
      <c r="F118" s="25">
        <v>797.98</v>
      </c>
      <c r="G118" s="26">
        <f t="shared" si="51"/>
        <v>6936.32</v>
      </c>
      <c r="H118" s="43">
        <v>3.71</v>
      </c>
      <c r="I118" s="25">
        <v>53887.28</v>
      </c>
      <c r="J118" s="25">
        <v>7005.35</v>
      </c>
      <c r="K118" s="25"/>
      <c r="L118" s="26">
        <f t="shared" si="52"/>
        <v>60892.63</v>
      </c>
      <c r="M118" s="2">
        <f t="shared" si="53"/>
        <v>67828.95</v>
      </c>
      <c r="N118" s="4">
        <f t="shared" si="59"/>
        <v>61157.11</v>
      </c>
      <c r="O118" s="4">
        <f t="shared" si="58"/>
        <v>375399.98999999993</v>
      </c>
      <c r="P118" s="48">
        <f t="shared" si="55"/>
        <v>0.21</v>
      </c>
      <c r="Q118" s="48">
        <f t="shared" si="56"/>
        <v>0.24</v>
      </c>
    </row>
    <row r="119" spans="1:17" x14ac:dyDescent="0.2">
      <c r="A119" t="s">
        <v>13</v>
      </c>
      <c r="B119" s="21">
        <v>236056</v>
      </c>
      <c r="C119" s="24">
        <f t="shared" si="50"/>
        <v>0.1148</v>
      </c>
      <c r="D119" s="22">
        <f t="shared" si="57"/>
        <v>1811681</v>
      </c>
      <c r="E119" s="25">
        <v>5808.09</v>
      </c>
      <c r="F119" s="25">
        <v>755.05</v>
      </c>
      <c r="G119" s="26">
        <f t="shared" si="51"/>
        <v>6563.14</v>
      </c>
      <c r="H119" s="43">
        <v>3.4</v>
      </c>
      <c r="I119" s="25">
        <v>44016.75</v>
      </c>
      <c r="J119" s="25">
        <v>5722.18</v>
      </c>
      <c r="K119" s="25"/>
      <c r="L119" s="26">
        <f t="shared" si="52"/>
        <v>49738.93</v>
      </c>
      <c r="M119" s="2">
        <f t="shared" si="53"/>
        <v>56302.07</v>
      </c>
      <c r="N119" s="4">
        <f t="shared" si="59"/>
        <v>50764.04</v>
      </c>
      <c r="O119" s="4">
        <f t="shared" si="58"/>
        <v>426164.02999999991</v>
      </c>
      <c r="P119" s="48">
        <f t="shared" si="55"/>
        <v>0.22</v>
      </c>
      <c r="Q119" s="48">
        <f t="shared" si="56"/>
        <v>0.24</v>
      </c>
    </row>
    <row r="120" spans="1:17" x14ac:dyDescent="0.2">
      <c r="A120" t="s">
        <v>14</v>
      </c>
      <c r="B120" s="21">
        <v>244639</v>
      </c>
      <c r="C120" s="24">
        <f t="shared" si="50"/>
        <v>0.11899999999999999</v>
      </c>
      <c r="D120" s="22">
        <f t="shared" si="57"/>
        <v>2056320</v>
      </c>
      <c r="E120" s="25">
        <v>7061.62</v>
      </c>
      <c r="F120" s="25">
        <v>918.01</v>
      </c>
      <c r="G120" s="26">
        <f t="shared" si="51"/>
        <v>7979.63</v>
      </c>
      <c r="H120" s="43">
        <v>3.48</v>
      </c>
      <c r="I120" s="25">
        <v>52391.39</v>
      </c>
      <c r="J120" s="25">
        <f>6759.4+19.8</f>
        <v>6779.2</v>
      </c>
      <c r="K120" s="25"/>
      <c r="L120" s="26">
        <f t="shared" si="52"/>
        <v>59170.59</v>
      </c>
      <c r="M120" s="2">
        <f t="shared" si="53"/>
        <v>67150.22</v>
      </c>
      <c r="N120" s="4">
        <f t="shared" si="59"/>
        <v>60569.1</v>
      </c>
      <c r="O120" s="4">
        <f t="shared" si="58"/>
        <v>486733.12999999989</v>
      </c>
      <c r="P120" s="48">
        <f t="shared" si="55"/>
        <v>0.25</v>
      </c>
      <c r="Q120" s="48">
        <f t="shared" si="56"/>
        <v>0.24</v>
      </c>
    </row>
    <row r="121" spans="1:17" x14ac:dyDescent="0.2">
      <c r="B121" s="21"/>
      <c r="C121" s="22"/>
      <c r="D121" s="22"/>
      <c r="E121" s="25"/>
      <c r="F121" s="25"/>
      <c r="G121" s="26"/>
      <c r="H121" s="44"/>
      <c r="I121" s="25"/>
      <c r="J121" s="25"/>
      <c r="K121" s="25"/>
      <c r="L121" s="26"/>
      <c r="M121" s="2"/>
      <c r="P121" s="47"/>
      <c r="Q121" s="47"/>
    </row>
    <row r="122" spans="1:17" x14ac:dyDescent="0.2">
      <c r="A122" t="s">
        <v>24</v>
      </c>
      <c r="B122" s="27">
        <f>SUM(B109:B120)</f>
        <v>2056320</v>
      </c>
      <c r="C122" s="28">
        <f>SUM(C109:C120)</f>
        <v>1</v>
      </c>
      <c r="D122" s="29"/>
      <c r="E122" s="30">
        <f>SUM(E109:E120)</f>
        <v>65311.859999999993</v>
      </c>
      <c r="F122" s="30">
        <f>SUM(F109:F120)</f>
        <v>7428.88</v>
      </c>
      <c r="G122" s="31">
        <f>SUM(G109:G120)</f>
        <v>72740.739999999991</v>
      </c>
      <c r="H122" s="45"/>
      <c r="I122" s="30">
        <f t="shared" ref="I122:N122" si="60">SUM(I109:I120)</f>
        <v>413445</v>
      </c>
      <c r="J122" s="30">
        <f t="shared" si="60"/>
        <v>46683</v>
      </c>
      <c r="K122" s="30">
        <f t="shared" si="60"/>
        <v>0</v>
      </c>
      <c r="L122" s="31">
        <f t="shared" si="60"/>
        <v>460128</v>
      </c>
      <c r="M122" s="2">
        <f t="shared" si="60"/>
        <v>532868.74</v>
      </c>
      <c r="N122" s="2">
        <f t="shared" si="60"/>
        <v>486733.12999999989</v>
      </c>
      <c r="O122" s="2"/>
      <c r="P122" s="47">
        <f>ROUND(N122/B122,2)</f>
        <v>0.24</v>
      </c>
      <c r="Q122" s="47"/>
    </row>
    <row r="124" spans="1:17" x14ac:dyDescent="0.2">
      <c r="D124" s="87" t="s">
        <v>149</v>
      </c>
    </row>
    <row r="125" spans="1:17" x14ac:dyDescent="0.2">
      <c r="B125" s="32" t="s">
        <v>58</v>
      </c>
      <c r="C125" s="16"/>
      <c r="D125" s="16"/>
      <c r="E125" s="16"/>
      <c r="F125" s="16"/>
      <c r="G125" s="17"/>
      <c r="H125" s="42" t="s">
        <v>59</v>
      </c>
      <c r="I125" s="33"/>
      <c r="J125" s="33"/>
      <c r="K125" s="33"/>
      <c r="L125" s="34"/>
      <c r="P125" s="49"/>
      <c r="Q125" s="49"/>
    </row>
    <row r="126" spans="1:17" x14ac:dyDescent="0.2">
      <c r="B126" s="79" t="s">
        <v>123</v>
      </c>
      <c r="C126" s="19"/>
      <c r="D126" s="19" t="s">
        <v>30</v>
      </c>
      <c r="E126" s="19"/>
      <c r="F126" s="19"/>
      <c r="G126" s="20" t="s">
        <v>21</v>
      </c>
      <c r="H126" s="38"/>
      <c r="I126" s="35"/>
      <c r="J126" s="35"/>
      <c r="K126" s="35"/>
      <c r="L126" s="36" t="s">
        <v>21</v>
      </c>
      <c r="M126" s="3" t="s">
        <v>21</v>
      </c>
      <c r="N126" s="3" t="s">
        <v>23</v>
      </c>
      <c r="O126" s="3" t="s">
        <v>30</v>
      </c>
      <c r="P126" s="46" t="s">
        <v>25</v>
      </c>
      <c r="Q126" s="46" t="s">
        <v>32</v>
      </c>
    </row>
    <row r="127" spans="1:17" x14ac:dyDescent="0.2">
      <c r="A127" s="1" t="s">
        <v>124</v>
      </c>
      <c r="B127" s="18" t="s">
        <v>15</v>
      </c>
      <c r="C127" s="19" t="s">
        <v>44</v>
      </c>
      <c r="D127" s="19" t="s">
        <v>15</v>
      </c>
      <c r="E127" s="19" t="s">
        <v>16</v>
      </c>
      <c r="F127" s="19" t="s">
        <v>62</v>
      </c>
      <c r="G127" s="20" t="s">
        <v>16</v>
      </c>
      <c r="H127" s="39" t="s">
        <v>28</v>
      </c>
      <c r="I127" s="19" t="s">
        <v>18</v>
      </c>
      <c r="J127" s="19" t="s">
        <v>63</v>
      </c>
      <c r="K127" s="19" t="s">
        <v>20</v>
      </c>
      <c r="L127" s="20" t="s">
        <v>18</v>
      </c>
      <c r="M127" s="3" t="s">
        <v>22</v>
      </c>
      <c r="N127" s="3" t="s">
        <v>22</v>
      </c>
      <c r="O127" s="3" t="s">
        <v>34</v>
      </c>
      <c r="P127" s="46" t="s">
        <v>15</v>
      </c>
      <c r="Q127" s="46" t="s">
        <v>33</v>
      </c>
    </row>
    <row r="128" spans="1:17" x14ac:dyDescent="0.2">
      <c r="B128" s="21"/>
      <c r="C128" s="22"/>
      <c r="D128" s="22" t="s">
        <v>31</v>
      </c>
      <c r="E128" s="22"/>
      <c r="F128" s="22"/>
      <c r="G128" s="23"/>
      <c r="H128" s="39"/>
      <c r="I128" s="22"/>
      <c r="J128" s="22"/>
      <c r="K128" s="22"/>
      <c r="L128" s="23"/>
    </row>
    <row r="129" spans="1:17" x14ac:dyDescent="0.2">
      <c r="A129" t="s">
        <v>3</v>
      </c>
      <c r="B129" s="21">
        <v>174981</v>
      </c>
      <c r="C129" s="24">
        <f>ROUND(B129/$B142,4)</f>
        <v>8.8900000000000007E-2</v>
      </c>
      <c r="D129" s="22">
        <f>+B129</f>
        <v>174981</v>
      </c>
      <c r="E129" s="25">
        <v>5690.05</v>
      </c>
      <c r="F129" s="25">
        <v>739.71</v>
      </c>
      <c r="G129" s="26">
        <f>+E129+F129</f>
        <v>6429.76</v>
      </c>
      <c r="H129" s="43">
        <v>3.51</v>
      </c>
      <c r="I129" s="25">
        <v>39398.660000000003</v>
      </c>
      <c r="J129" s="25">
        <v>5121.83</v>
      </c>
      <c r="K129" s="25">
        <v>0</v>
      </c>
      <c r="L129" s="26">
        <f>+I129+J129+K129</f>
        <v>44520.490000000005</v>
      </c>
      <c r="M129" s="2">
        <f>+G129+L129</f>
        <v>50950.250000000007</v>
      </c>
      <c r="N129" s="4">
        <f t="shared" ref="N129:N140" si="61">+E129+ROUND(F129*0.145,2)+I129+ROUND(J129*0.145,2)</f>
        <v>45938.64</v>
      </c>
      <c r="O129" s="4">
        <f>+N129</f>
        <v>45938.64</v>
      </c>
      <c r="P129" s="48">
        <f>IF(B129="","",ROUND(N129/B129,2))</f>
        <v>0.26</v>
      </c>
      <c r="Q129" s="48">
        <f>ROUND(O129/D129,2)</f>
        <v>0.26</v>
      </c>
    </row>
    <row r="130" spans="1:17" x14ac:dyDescent="0.2">
      <c r="A130" t="s">
        <v>4</v>
      </c>
      <c r="B130" s="21">
        <v>140109</v>
      </c>
      <c r="C130" s="24">
        <f>ROUND(B130/$B142,4)</f>
        <v>7.1199999999999999E-2</v>
      </c>
      <c r="D130" s="22">
        <f>+D129+B130</f>
        <v>315090</v>
      </c>
      <c r="E130" s="25">
        <v>5476.72</v>
      </c>
      <c r="F130" s="25">
        <v>711.97</v>
      </c>
      <c r="G130" s="26">
        <f t="shared" ref="G130:G140" si="62">+E130+F130</f>
        <v>6188.6900000000005</v>
      </c>
      <c r="H130" s="43">
        <v>3.63</v>
      </c>
      <c r="I130" s="25">
        <v>36966.9</v>
      </c>
      <c r="J130" s="25">
        <v>4805.7</v>
      </c>
      <c r="K130" s="25"/>
      <c r="L130" s="26">
        <f t="shared" ref="L130:L140" si="63">+I130+J130+K130</f>
        <v>41772.6</v>
      </c>
      <c r="M130" s="2">
        <f t="shared" ref="M130:M140" si="64">+G130+L130</f>
        <v>47961.29</v>
      </c>
      <c r="N130" s="4">
        <f t="shared" si="61"/>
        <v>43243.69</v>
      </c>
      <c r="O130" s="4">
        <f>+O129+N130</f>
        <v>89182.33</v>
      </c>
      <c r="P130" s="48">
        <f t="shared" ref="P130:P140" si="65">IF(B130="","",ROUND(N130/B130,2))</f>
        <v>0.31</v>
      </c>
      <c r="Q130" s="48">
        <f t="shared" ref="Q130:Q140" si="66">ROUND(O130/D130,2)</f>
        <v>0.28000000000000003</v>
      </c>
    </row>
    <row r="131" spans="1:17" x14ac:dyDescent="0.2">
      <c r="A131" t="s">
        <v>5</v>
      </c>
      <c r="B131" s="21">
        <v>106116</v>
      </c>
      <c r="C131" s="24">
        <f>ROUND(B131/$B142,4)</f>
        <v>5.3900000000000003E-2</v>
      </c>
      <c r="D131" s="22">
        <f t="shared" ref="D131:D140" si="67">+D130+B131</f>
        <v>421206</v>
      </c>
      <c r="E131" s="25">
        <v>5328.93</v>
      </c>
      <c r="F131" s="25">
        <v>692.76</v>
      </c>
      <c r="G131" s="26">
        <f t="shared" si="62"/>
        <v>6021.6900000000005</v>
      </c>
      <c r="H131" s="43">
        <v>3.79</v>
      </c>
      <c r="I131" s="25">
        <v>37750.5</v>
      </c>
      <c r="J131" s="25">
        <v>4907.57</v>
      </c>
      <c r="K131" s="25"/>
      <c r="L131" s="26">
        <f t="shared" si="63"/>
        <v>42658.07</v>
      </c>
      <c r="M131" s="2">
        <f t="shared" si="64"/>
        <v>48679.76</v>
      </c>
      <c r="N131" s="4">
        <f t="shared" si="61"/>
        <v>43891.479999999996</v>
      </c>
      <c r="O131" s="4">
        <f t="shared" ref="O131:O140" si="68">+O130+N131</f>
        <v>133073.81</v>
      </c>
      <c r="P131" s="48">
        <f t="shared" si="65"/>
        <v>0.41</v>
      </c>
      <c r="Q131" s="48">
        <f t="shared" si="66"/>
        <v>0.32</v>
      </c>
    </row>
    <row r="132" spans="1:17" x14ac:dyDescent="0.2">
      <c r="A132" t="s">
        <v>6</v>
      </c>
      <c r="B132" s="21">
        <v>95975</v>
      </c>
      <c r="C132" s="24">
        <f>ROUND(B132/$B142,4)</f>
        <v>4.8800000000000003E-2</v>
      </c>
      <c r="D132" s="22">
        <f t="shared" si="67"/>
        <v>517181</v>
      </c>
      <c r="E132" s="25">
        <v>5299.24</v>
      </c>
      <c r="F132" s="25">
        <v>688.9</v>
      </c>
      <c r="G132" s="26">
        <f t="shared" si="62"/>
        <v>5988.1399999999994</v>
      </c>
      <c r="H132" s="43">
        <v>3.46</v>
      </c>
      <c r="I132" s="25">
        <v>31764.69</v>
      </c>
      <c r="J132" s="25">
        <v>4129.41</v>
      </c>
      <c r="K132" s="25"/>
      <c r="L132" s="26">
        <f t="shared" si="63"/>
        <v>35894.1</v>
      </c>
      <c r="M132" s="2">
        <f t="shared" si="64"/>
        <v>41882.239999999998</v>
      </c>
      <c r="N132" s="4">
        <f t="shared" si="61"/>
        <v>37762.58</v>
      </c>
      <c r="O132" s="4">
        <f t="shared" si="68"/>
        <v>170836.39</v>
      </c>
      <c r="P132" s="48">
        <f t="shared" si="65"/>
        <v>0.39</v>
      </c>
      <c r="Q132" s="48">
        <f t="shared" si="66"/>
        <v>0.33</v>
      </c>
    </row>
    <row r="133" spans="1:17" x14ac:dyDescent="0.2">
      <c r="A133" t="s">
        <v>7</v>
      </c>
      <c r="B133" s="21">
        <v>102802</v>
      </c>
      <c r="C133" s="24">
        <f>ROUND(B133/$B142,4)</f>
        <v>5.2200000000000003E-2</v>
      </c>
      <c r="D133" s="22">
        <f t="shared" si="67"/>
        <v>619983</v>
      </c>
      <c r="E133" s="25">
        <v>5427.6</v>
      </c>
      <c r="F133" s="25">
        <v>705.59</v>
      </c>
      <c r="G133" s="26">
        <f t="shared" si="62"/>
        <v>6133.1900000000005</v>
      </c>
      <c r="H133" s="43">
        <v>3.42</v>
      </c>
      <c r="I133" s="25">
        <v>33516.11</v>
      </c>
      <c r="J133" s="25">
        <v>4357</v>
      </c>
      <c r="K133" s="25"/>
      <c r="L133" s="26">
        <f t="shared" si="63"/>
        <v>37873.11</v>
      </c>
      <c r="M133" s="2">
        <f t="shared" si="64"/>
        <v>44006.3</v>
      </c>
      <c r="N133" s="4">
        <f t="shared" si="61"/>
        <v>39677.79</v>
      </c>
      <c r="O133" s="4">
        <f t="shared" si="68"/>
        <v>210514.18000000002</v>
      </c>
      <c r="P133" s="48">
        <f t="shared" si="65"/>
        <v>0.39</v>
      </c>
      <c r="Q133" s="48">
        <f t="shared" si="66"/>
        <v>0.34</v>
      </c>
    </row>
    <row r="134" spans="1:17" x14ac:dyDescent="0.2">
      <c r="A134" t="s">
        <v>8</v>
      </c>
      <c r="B134" s="21">
        <v>116796</v>
      </c>
      <c r="C134" s="24">
        <f>ROUND(B134/$B142,4)</f>
        <v>5.9299999999999999E-2</v>
      </c>
      <c r="D134" s="22">
        <f t="shared" si="67"/>
        <v>736779</v>
      </c>
      <c r="E134" s="25">
        <v>6744.63</v>
      </c>
      <c r="F134" s="25">
        <v>876.8</v>
      </c>
      <c r="G134" s="26">
        <f t="shared" si="62"/>
        <v>7621.43</v>
      </c>
      <c r="H134" s="43">
        <v>3.44</v>
      </c>
      <c r="I134" s="25">
        <v>35607.85</v>
      </c>
      <c r="J134" s="25">
        <v>4629.0200000000004</v>
      </c>
      <c r="K134" s="25"/>
      <c r="L134" s="26">
        <f t="shared" si="63"/>
        <v>40236.869999999995</v>
      </c>
      <c r="M134" s="2">
        <f t="shared" si="64"/>
        <v>47858.299999999996</v>
      </c>
      <c r="N134" s="4">
        <f t="shared" si="61"/>
        <v>43150.829999999994</v>
      </c>
      <c r="O134" s="4">
        <f t="shared" si="68"/>
        <v>253665.01</v>
      </c>
      <c r="P134" s="48">
        <f t="shared" si="65"/>
        <v>0.37</v>
      </c>
      <c r="Q134" s="48">
        <f t="shared" si="66"/>
        <v>0.34</v>
      </c>
    </row>
    <row r="135" spans="1:17" x14ac:dyDescent="0.2">
      <c r="A135" t="s">
        <v>9</v>
      </c>
      <c r="B135" s="21">
        <v>144586</v>
      </c>
      <c r="C135" s="24">
        <f>ROUND(B135/$B142,4)</f>
        <v>7.3499999999999996E-2</v>
      </c>
      <c r="D135" s="22">
        <f t="shared" si="67"/>
        <v>881365</v>
      </c>
      <c r="E135" s="25">
        <v>5490.25</v>
      </c>
      <c r="F135" s="25">
        <v>713.73</v>
      </c>
      <c r="G135" s="26">
        <f t="shared" si="62"/>
        <v>6203.98</v>
      </c>
      <c r="H135" s="43">
        <v>3.15</v>
      </c>
      <c r="I135" s="25">
        <v>34983.32</v>
      </c>
      <c r="J135" s="25">
        <v>4547.83</v>
      </c>
      <c r="K135" s="25"/>
      <c r="L135" s="26">
        <f t="shared" si="63"/>
        <v>39531.15</v>
      </c>
      <c r="M135" s="2">
        <f t="shared" si="64"/>
        <v>45735.130000000005</v>
      </c>
      <c r="N135" s="4">
        <f t="shared" si="61"/>
        <v>41236.5</v>
      </c>
      <c r="O135" s="4">
        <f t="shared" si="68"/>
        <v>294901.51</v>
      </c>
      <c r="P135" s="48">
        <f t="shared" si="65"/>
        <v>0.28999999999999998</v>
      </c>
      <c r="Q135" s="48">
        <f t="shared" si="66"/>
        <v>0.33</v>
      </c>
    </row>
    <row r="136" spans="1:17" x14ac:dyDescent="0.2">
      <c r="A136" t="s">
        <v>10</v>
      </c>
      <c r="B136" s="21">
        <v>187427</v>
      </c>
      <c r="C136" s="24">
        <f>ROUND(B136/$B142,4)</f>
        <v>9.5200000000000007E-2</v>
      </c>
      <c r="D136" s="22">
        <f t="shared" si="67"/>
        <v>1068792</v>
      </c>
      <c r="E136" s="25">
        <v>5609.07</v>
      </c>
      <c r="F136" s="25">
        <v>729.18</v>
      </c>
      <c r="G136" s="26">
        <f t="shared" si="62"/>
        <v>6338.25</v>
      </c>
      <c r="H136" s="43">
        <v>3.02</v>
      </c>
      <c r="I136" s="25">
        <v>38672.11</v>
      </c>
      <c r="J136" s="25">
        <v>5027.37</v>
      </c>
      <c r="K136" s="25"/>
      <c r="L136" s="26">
        <f t="shared" si="63"/>
        <v>43699.48</v>
      </c>
      <c r="M136" s="2">
        <f t="shared" si="64"/>
        <v>50037.73</v>
      </c>
      <c r="N136" s="4">
        <f t="shared" si="61"/>
        <v>45115.880000000005</v>
      </c>
      <c r="O136" s="4">
        <f t="shared" si="68"/>
        <v>340017.39</v>
      </c>
      <c r="P136" s="48">
        <f t="shared" si="65"/>
        <v>0.24</v>
      </c>
      <c r="Q136" s="48">
        <f t="shared" si="66"/>
        <v>0.32</v>
      </c>
    </row>
    <row r="137" spans="1:17" x14ac:dyDescent="0.2">
      <c r="A137" t="s">
        <v>11</v>
      </c>
      <c r="B137" s="21">
        <v>240390</v>
      </c>
      <c r="C137" s="24">
        <f>ROUND(B137/$B142,4)</f>
        <v>0.1221</v>
      </c>
      <c r="D137" s="22">
        <f t="shared" si="67"/>
        <v>1309182</v>
      </c>
      <c r="E137" s="25">
        <v>5914.29</v>
      </c>
      <c r="F137" s="25">
        <v>768.86</v>
      </c>
      <c r="G137" s="26">
        <f t="shared" si="62"/>
        <v>6683.15</v>
      </c>
      <c r="H137" s="43">
        <v>2.5499999999999998</v>
      </c>
      <c r="I137" s="25">
        <v>38933.360000000001</v>
      </c>
      <c r="J137" s="25">
        <v>5061.34</v>
      </c>
      <c r="K137" s="25"/>
      <c r="L137" s="26">
        <f t="shared" si="63"/>
        <v>43994.7</v>
      </c>
      <c r="M137" s="2">
        <f t="shared" si="64"/>
        <v>50677.85</v>
      </c>
      <c r="N137" s="4">
        <f t="shared" si="61"/>
        <v>45693.02</v>
      </c>
      <c r="O137" s="4">
        <f t="shared" si="68"/>
        <v>385710.41000000003</v>
      </c>
      <c r="P137" s="48">
        <f t="shared" si="65"/>
        <v>0.19</v>
      </c>
      <c r="Q137" s="48">
        <f t="shared" si="66"/>
        <v>0.28999999999999998</v>
      </c>
    </row>
    <row r="138" spans="1:17" x14ac:dyDescent="0.2">
      <c r="A138" t="s">
        <v>12</v>
      </c>
      <c r="B138" s="21">
        <v>254837</v>
      </c>
      <c r="C138" s="24">
        <f>ROUND(B138/$B142,4)</f>
        <v>0.1295</v>
      </c>
      <c r="D138" s="22">
        <f t="shared" si="67"/>
        <v>1564019</v>
      </c>
      <c r="E138" s="25">
        <v>5616.91</v>
      </c>
      <c r="F138" s="25">
        <v>730.2</v>
      </c>
      <c r="G138" s="26">
        <f t="shared" si="62"/>
        <v>6347.11</v>
      </c>
      <c r="H138" s="43">
        <v>2.1</v>
      </c>
      <c r="I138" s="25">
        <v>40464.1</v>
      </c>
      <c r="J138" s="25">
        <v>5260.33</v>
      </c>
      <c r="K138" s="25"/>
      <c r="L138" s="26">
        <f t="shared" si="63"/>
        <v>45724.43</v>
      </c>
      <c r="M138" s="2">
        <f t="shared" si="64"/>
        <v>52071.54</v>
      </c>
      <c r="N138" s="4">
        <f t="shared" si="61"/>
        <v>46949.64</v>
      </c>
      <c r="O138" s="4">
        <f t="shared" si="68"/>
        <v>432660.05000000005</v>
      </c>
      <c r="P138" s="48">
        <f t="shared" si="65"/>
        <v>0.18</v>
      </c>
      <c r="Q138" s="48">
        <f t="shared" si="66"/>
        <v>0.28000000000000003</v>
      </c>
    </row>
    <row r="139" spans="1:17" x14ac:dyDescent="0.2">
      <c r="A139" t="s">
        <v>13</v>
      </c>
      <c r="B139" s="21">
        <v>213280</v>
      </c>
      <c r="C139" s="24">
        <f>ROUND(B139/$B142,4)</f>
        <v>0.1084</v>
      </c>
      <c r="D139" s="22">
        <f t="shared" si="67"/>
        <v>1777299</v>
      </c>
      <c r="E139" s="25">
        <v>5728.83</v>
      </c>
      <c r="F139" s="25">
        <v>744.75</v>
      </c>
      <c r="G139" s="26">
        <f t="shared" si="62"/>
        <v>6473.58</v>
      </c>
      <c r="H139" s="43">
        <v>1.8</v>
      </c>
      <c r="I139" s="25">
        <v>31572.22</v>
      </c>
      <c r="J139" s="25">
        <v>4104.3900000000003</v>
      </c>
      <c r="K139" s="25"/>
      <c r="L139" s="26">
        <f t="shared" si="63"/>
        <v>35676.61</v>
      </c>
      <c r="M139" s="2">
        <f t="shared" si="64"/>
        <v>42150.19</v>
      </c>
      <c r="N139" s="4">
        <f t="shared" si="61"/>
        <v>38004.18</v>
      </c>
      <c r="O139" s="4">
        <f t="shared" si="68"/>
        <v>470664.23000000004</v>
      </c>
      <c r="P139" s="48">
        <f t="shared" si="65"/>
        <v>0.18</v>
      </c>
      <c r="Q139" s="48">
        <f t="shared" si="66"/>
        <v>0.26</v>
      </c>
    </row>
    <row r="140" spans="1:17" x14ac:dyDescent="0.2">
      <c r="A140" t="s">
        <v>14</v>
      </c>
      <c r="B140" s="21">
        <v>190817</v>
      </c>
      <c r="C140" s="24">
        <f>ROUND(B140/$B142,4)</f>
        <v>9.7000000000000003E-2</v>
      </c>
      <c r="D140" s="22">
        <f t="shared" si="67"/>
        <v>1968116</v>
      </c>
      <c r="E140" s="25">
        <v>5492</v>
      </c>
      <c r="F140" s="25">
        <v>713.96</v>
      </c>
      <c r="G140" s="26">
        <f t="shared" si="62"/>
        <v>6205.96</v>
      </c>
      <c r="H140" s="43">
        <v>1.47</v>
      </c>
      <c r="I140" s="25">
        <v>27273.49</v>
      </c>
      <c r="J140" s="25">
        <v>3545.55</v>
      </c>
      <c r="K140" s="25"/>
      <c r="L140" s="26">
        <f t="shared" si="63"/>
        <v>30819.040000000001</v>
      </c>
      <c r="M140" s="2">
        <f t="shared" si="64"/>
        <v>37025</v>
      </c>
      <c r="N140" s="4">
        <f t="shared" si="61"/>
        <v>33383.11</v>
      </c>
      <c r="O140" s="4">
        <f t="shared" si="68"/>
        <v>504047.34</v>
      </c>
      <c r="P140" s="48">
        <f t="shared" si="65"/>
        <v>0.17</v>
      </c>
      <c r="Q140" s="48">
        <f t="shared" si="66"/>
        <v>0.26</v>
      </c>
    </row>
    <row r="141" spans="1:17" x14ac:dyDescent="0.2">
      <c r="B141" s="21"/>
      <c r="C141" s="22"/>
      <c r="D141" s="22"/>
      <c r="E141" s="25"/>
      <c r="F141" s="25"/>
      <c r="G141" s="26"/>
      <c r="H141" s="44"/>
      <c r="I141" s="25"/>
      <c r="J141" s="25"/>
      <c r="K141" s="25"/>
      <c r="L141" s="26"/>
      <c r="M141" s="2"/>
      <c r="P141" s="47"/>
      <c r="Q141" s="47"/>
    </row>
    <row r="142" spans="1:17" x14ac:dyDescent="0.2">
      <c r="A142" t="s">
        <v>24</v>
      </c>
      <c r="B142" s="27">
        <f>SUM(B129:B140)</f>
        <v>1968116</v>
      </c>
      <c r="C142" s="28">
        <f>SUM(C129:C140)</f>
        <v>1.0000000000000002</v>
      </c>
      <c r="D142" s="29"/>
      <c r="E142" s="30">
        <f>SUM(E129:E140)</f>
        <v>67818.52</v>
      </c>
      <c r="F142" s="30">
        <f>SUM(F129:F140)</f>
        <v>8816.41</v>
      </c>
      <c r="G142" s="31">
        <f>SUM(G129:G140)</f>
        <v>76634.930000000008</v>
      </c>
      <c r="H142" s="45"/>
      <c r="I142" s="30">
        <f t="shared" ref="I142:N142" si="69">SUM(I129:I140)</f>
        <v>426903.30999999994</v>
      </c>
      <c r="J142" s="30">
        <f t="shared" si="69"/>
        <v>55497.340000000011</v>
      </c>
      <c r="K142" s="30">
        <f t="shared" si="69"/>
        <v>0</v>
      </c>
      <c r="L142" s="31">
        <f t="shared" si="69"/>
        <v>482400.64999999997</v>
      </c>
      <c r="M142" s="2">
        <f t="shared" si="69"/>
        <v>559035.57999999996</v>
      </c>
      <c r="N142" s="2">
        <f t="shared" si="69"/>
        <v>504047.34</v>
      </c>
      <c r="O142" s="2"/>
      <c r="P142" s="47">
        <f>ROUND(N142/B142,2)</f>
        <v>0.26</v>
      </c>
      <c r="Q142" s="47"/>
    </row>
    <row r="144" spans="1:17" x14ac:dyDescent="0.2">
      <c r="A144" t="s">
        <v>126</v>
      </c>
      <c r="B144" s="50">
        <f>+B78+B79+B80+SUM(B89:B97)</f>
        <v>2543895</v>
      </c>
      <c r="O144" s="50">
        <f>+O78+O79+O80+SUM(O89:O97)</f>
        <v>5514183.5299999993</v>
      </c>
    </row>
    <row r="145" spans="1:17" x14ac:dyDescent="0.2">
      <c r="A145" t="s">
        <v>125</v>
      </c>
      <c r="B145" s="50">
        <f>+B98+B99+B100+SUM(B109:B117)</f>
        <v>1981252</v>
      </c>
      <c r="O145" s="50">
        <f>+O98+O99+O100+SUM(O109:O117)</f>
        <v>3632469.3299999996</v>
      </c>
    </row>
    <row r="146" spans="1:17" x14ac:dyDescent="0.2">
      <c r="B146" s="50">
        <f>+B144-B145</f>
        <v>562643</v>
      </c>
      <c r="O146" s="50">
        <f>+O144-O145</f>
        <v>1881714.1999999997</v>
      </c>
    </row>
    <row r="147" spans="1:17" x14ac:dyDescent="0.2">
      <c r="B147" s="50"/>
      <c r="O147" s="50"/>
    </row>
    <row r="148" spans="1:17" x14ac:dyDescent="0.2">
      <c r="B148" s="50"/>
      <c r="O148" s="50"/>
    </row>
    <row r="150" spans="1:17" ht="13.5" thickBot="1" x14ac:dyDescent="0.25">
      <c r="D150" s="87" t="s">
        <v>149</v>
      </c>
    </row>
    <row r="151" spans="1:17" x14ac:dyDescent="0.2">
      <c r="B151" s="88" t="s">
        <v>58</v>
      </c>
      <c r="C151" s="89"/>
      <c r="D151" s="89"/>
      <c r="E151" s="89"/>
      <c r="F151" s="89"/>
      <c r="G151" s="90"/>
      <c r="H151" s="102" t="s">
        <v>59</v>
      </c>
      <c r="I151" s="103"/>
      <c r="J151" s="103"/>
      <c r="K151" s="103"/>
      <c r="L151" s="104"/>
      <c r="P151" s="49"/>
      <c r="Q151" s="49"/>
    </row>
    <row r="152" spans="1:17" x14ac:dyDescent="0.2">
      <c r="B152" s="91" t="s">
        <v>123</v>
      </c>
      <c r="C152" s="19"/>
      <c r="D152" s="19" t="s">
        <v>30</v>
      </c>
      <c r="E152" s="19"/>
      <c r="F152" s="19"/>
      <c r="G152" s="92" t="s">
        <v>21</v>
      </c>
      <c r="H152" s="105"/>
      <c r="I152" s="35"/>
      <c r="J152" s="35"/>
      <c r="K152" s="35"/>
      <c r="L152" s="106" t="s">
        <v>21</v>
      </c>
      <c r="M152" s="3" t="s">
        <v>21</v>
      </c>
      <c r="N152" s="3" t="s">
        <v>23</v>
      </c>
      <c r="O152" s="3" t="s">
        <v>30</v>
      </c>
      <c r="P152" s="46" t="s">
        <v>25</v>
      </c>
      <c r="Q152" s="46" t="s">
        <v>32</v>
      </c>
    </row>
    <row r="153" spans="1:17" x14ac:dyDescent="0.2">
      <c r="A153" s="1" t="s">
        <v>150</v>
      </c>
      <c r="B153" s="93" t="s">
        <v>15</v>
      </c>
      <c r="C153" s="19" t="s">
        <v>44</v>
      </c>
      <c r="D153" s="19" t="s">
        <v>15</v>
      </c>
      <c r="E153" s="19" t="s">
        <v>16</v>
      </c>
      <c r="F153" s="19" t="s">
        <v>62</v>
      </c>
      <c r="G153" s="92" t="s">
        <v>16</v>
      </c>
      <c r="H153" s="107" t="s">
        <v>28</v>
      </c>
      <c r="I153" s="19" t="s">
        <v>18</v>
      </c>
      <c r="J153" s="19" t="s">
        <v>63</v>
      </c>
      <c r="K153" s="19" t="s">
        <v>20</v>
      </c>
      <c r="L153" s="92" t="s">
        <v>18</v>
      </c>
      <c r="M153" s="3" t="s">
        <v>22</v>
      </c>
      <c r="N153" s="3" t="s">
        <v>22</v>
      </c>
      <c r="O153" s="3" t="s">
        <v>34</v>
      </c>
      <c r="P153" s="46" t="s">
        <v>15</v>
      </c>
      <c r="Q153" s="46" t="s">
        <v>33</v>
      </c>
    </row>
    <row r="154" spans="1:17" x14ac:dyDescent="0.2">
      <c r="B154" s="94"/>
      <c r="C154" s="22"/>
      <c r="D154" s="22" t="s">
        <v>31</v>
      </c>
      <c r="E154" s="22"/>
      <c r="F154" s="22"/>
      <c r="G154" s="95"/>
      <c r="H154" s="107"/>
      <c r="I154" s="22"/>
      <c r="J154" s="22"/>
      <c r="K154" s="22"/>
      <c r="L154" s="95"/>
    </row>
    <row r="155" spans="1:17" x14ac:dyDescent="0.2">
      <c r="A155" t="s">
        <v>3</v>
      </c>
      <c r="B155" s="94">
        <v>179995</v>
      </c>
      <c r="C155" s="24">
        <f>ROUND(B155/$B168,4)</f>
        <v>8.5900000000000004E-2</v>
      </c>
      <c r="D155" s="22">
        <f>+B155</f>
        <v>179995</v>
      </c>
      <c r="E155" s="25">
        <v>3856.4</v>
      </c>
      <c r="F155" s="25">
        <f>623.83-47.11</f>
        <v>576.72</v>
      </c>
      <c r="G155" s="96">
        <f>+E155+F155</f>
        <v>4433.12</v>
      </c>
      <c r="H155" s="108">
        <v>1.34</v>
      </c>
      <c r="I155" s="25">
        <v>25323.81</v>
      </c>
      <c r="J155" s="25">
        <v>3292.1</v>
      </c>
      <c r="K155" s="25">
        <v>0</v>
      </c>
      <c r="L155" s="96">
        <f>+I155+J155+K155</f>
        <v>28615.91</v>
      </c>
      <c r="M155" s="2">
        <f>+G155+L155</f>
        <v>33049.03</v>
      </c>
      <c r="N155" s="4">
        <f t="shared" ref="N155:N166" si="70">+E155+ROUND(F155*0.145,2)+I155+ROUND(J155*0.145,2)</f>
        <v>29741.18</v>
      </c>
      <c r="O155" s="4">
        <f>+N155</f>
        <v>29741.18</v>
      </c>
      <c r="P155" s="48">
        <f>IF(B155="","",ROUND(N155/B155,2))</f>
        <v>0.17</v>
      </c>
      <c r="Q155" s="48">
        <f>ROUND(O155/D155,2)</f>
        <v>0.17</v>
      </c>
    </row>
    <row r="156" spans="1:17" x14ac:dyDescent="0.2">
      <c r="A156" t="s">
        <v>4</v>
      </c>
      <c r="B156" s="94">
        <v>133764</v>
      </c>
      <c r="C156" s="24">
        <f>ROUND(B156/$B168,4)</f>
        <v>6.3799999999999996E-2</v>
      </c>
      <c r="D156" s="22">
        <f>+D155+B156</f>
        <v>313759</v>
      </c>
      <c r="E156" s="25">
        <v>5201.34</v>
      </c>
      <c r="F156" s="25">
        <v>676.17</v>
      </c>
      <c r="G156" s="96">
        <f t="shared" ref="G156:G166" si="71">+E156+F156</f>
        <v>5877.51</v>
      </c>
      <c r="H156" s="108">
        <v>1.73</v>
      </c>
      <c r="I156" s="25">
        <v>23975.06</v>
      </c>
      <c r="J156" s="25">
        <v>3116.76</v>
      </c>
      <c r="K156" s="25"/>
      <c r="L156" s="96">
        <f t="shared" ref="L156:L166" si="72">+I156+J156+K156</f>
        <v>27091.82</v>
      </c>
      <c r="M156" s="2">
        <f t="shared" ref="M156:M166" si="73">+G156+L156</f>
        <v>32969.33</v>
      </c>
      <c r="N156" s="4">
        <f t="shared" si="70"/>
        <v>29726.370000000003</v>
      </c>
      <c r="O156" s="4">
        <f>+O155+N156</f>
        <v>59467.55</v>
      </c>
      <c r="P156" s="48">
        <f t="shared" ref="P156:P166" si="74">IF(B156="","",ROUND(N156/B156,2))</f>
        <v>0.22</v>
      </c>
      <c r="Q156" s="48">
        <f t="shared" ref="Q156:Q166" si="75">ROUND(O156/D156,2)</f>
        <v>0.19</v>
      </c>
    </row>
    <row r="157" spans="1:17" x14ac:dyDescent="0.2">
      <c r="A157" t="s">
        <v>5</v>
      </c>
      <c r="B157" s="94">
        <v>110932</v>
      </c>
      <c r="C157" s="24">
        <f>ROUND(B157/$B168,4)</f>
        <v>5.2900000000000003E-2</v>
      </c>
      <c r="D157" s="22">
        <f t="shared" ref="D157:D166" si="76">+D156+B157</f>
        <v>424691</v>
      </c>
      <c r="E157" s="25">
        <v>5251.59</v>
      </c>
      <c r="F157" s="25">
        <v>682.71</v>
      </c>
      <c r="G157" s="96">
        <f t="shared" si="71"/>
        <v>5934.3</v>
      </c>
      <c r="H157" s="108">
        <v>1.62</v>
      </c>
      <c r="I157" s="25">
        <v>23010.46</v>
      </c>
      <c r="J157" s="25">
        <v>2991.36</v>
      </c>
      <c r="K157" s="25"/>
      <c r="L157" s="96">
        <f t="shared" si="72"/>
        <v>26001.82</v>
      </c>
      <c r="M157" s="2">
        <f t="shared" si="73"/>
        <v>31936.12</v>
      </c>
      <c r="N157" s="4">
        <f t="shared" si="70"/>
        <v>28794.79</v>
      </c>
      <c r="O157" s="4">
        <f t="shared" ref="O157:O166" si="77">+O156+N157</f>
        <v>88262.34</v>
      </c>
      <c r="P157" s="48">
        <f t="shared" si="74"/>
        <v>0.26</v>
      </c>
      <c r="Q157" s="48">
        <f t="shared" si="75"/>
        <v>0.21</v>
      </c>
    </row>
    <row r="158" spans="1:17" x14ac:dyDescent="0.2">
      <c r="A158" t="s">
        <v>6</v>
      </c>
      <c r="B158" s="94">
        <v>95000</v>
      </c>
      <c r="C158" s="24">
        <f>ROUND(B158/$B168,4)</f>
        <v>4.53E-2</v>
      </c>
      <c r="D158" s="22">
        <f t="shared" si="76"/>
        <v>519691</v>
      </c>
      <c r="E158" s="25">
        <v>5190.12</v>
      </c>
      <c r="F158" s="25">
        <v>674.72</v>
      </c>
      <c r="G158" s="96">
        <f t="shared" si="71"/>
        <v>5864.84</v>
      </c>
      <c r="H158" s="108">
        <v>1.99</v>
      </c>
      <c r="I158" s="25">
        <v>26210.880000000001</v>
      </c>
      <c r="J158" s="25">
        <v>3407.41</v>
      </c>
      <c r="K158" s="25"/>
      <c r="L158" s="96">
        <f t="shared" si="72"/>
        <v>29618.29</v>
      </c>
      <c r="M158" s="2">
        <f t="shared" si="73"/>
        <v>35483.130000000005</v>
      </c>
      <c r="N158" s="4">
        <f t="shared" si="70"/>
        <v>31992.9</v>
      </c>
      <c r="O158" s="4">
        <f t="shared" si="77"/>
        <v>120255.23999999999</v>
      </c>
      <c r="P158" s="48">
        <f t="shared" si="74"/>
        <v>0.34</v>
      </c>
      <c r="Q158" s="48">
        <f t="shared" si="75"/>
        <v>0.23</v>
      </c>
    </row>
    <row r="159" spans="1:17" x14ac:dyDescent="0.2">
      <c r="A159" t="s">
        <v>7</v>
      </c>
      <c r="B159" s="94">
        <f>111866.6+11371.2</f>
        <v>123237.8</v>
      </c>
      <c r="C159" s="24">
        <f>ROUND(B159/$B168,4)</f>
        <v>5.8799999999999998E-2</v>
      </c>
      <c r="D159" s="22">
        <f t="shared" si="76"/>
        <v>642928.80000000005</v>
      </c>
      <c r="E159" s="25">
        <v>5196.01</v>
      </c>
      <c r="F159" s="25">
        <v>675.48</v>
      </c>
      <c r="G159" s="96">
        <f t="shared" si="71"/>
        <v>5871.49</v>
      </c>
      <c r="H159" s="108">
        <v>1.85</v>
      </c>
      <c r="I159" s="25">
        <v>24634.77</v>
      </c>
      <c r="J159" s="25">
        <v>3202.52</v>
      </c>
      <c r="K159" s="25"/>
      <c r="L159" s="96">
        <f t="shared" si="72"/>
        <v>27837.29</v>
      </c>
      <c r="M159" s="2">
        <f t="shared" si="73"/>
        <v>33708.78</v>
      </c>
      <c r="N159" s="4">
        <f t="shared" si="70"/>
        <v>30393.09</v>
      </c>
      <c r="O159" s="4">
        <f t="shared" si="77"/>
        <v>150648.32999999999</v>
      </c>
      <c r="P159" s="48">
        <f t="shared" si="74"/>
        <v>0.25</v>
      </c>
      <c r="Q159" s="48">
        <f t="shared" si="75"/>
        <v>0.23</v>
      </c>
    </row>
    <row r="160" spans="1:17" x14ac:dyDescent="0.2">
      <c r="A160" t="s">
        <v>8</v>
      </c>
      <c r="B160" s="94">
        <v>126597.2</v>
      </c>
      <c r="C160" s="24">
        <f>ROUND(B160/$B168,4)</f>
        <v>6.0400000000000002E-2</v>
      </c>
      <c r="D160" s="22">
        <f t="shared" si="76"/>
        <v>769526</v>
      </c>
      <c r="E160" s="25">
        <v>5213.82</v>
      </c>
      <c r="F160" s="25">
        <v>677.8</v>
      </c>
      <c r="G160" s="96">
        <f t="shared" si="71"/>
        <v>5891.62</v>
      </c>
      <c r="H160" s="108">
        <v>1.94</v>
      </c>
      <c r="I160" s="25">
        <v>27023.74</v>
      </c>
      <c r="J160" s="25">
        <v>3513.09</v>
      </c>
      <c r="K160" s="25"/>
      <c r="L160" s="96">
        <f t="shared" si="72"/>
        <v>30536.83</v>
      </c>
      <c r="M160" s="2">
        <f t="shared" si="73"/>
        <v>36428.450000000004</v>
      </c>
      <c r="N160" s="4">
        <f t="shared" si="70"/>
        <v>32845.24</v>
      </c>
      <c r="O160" s="4">
        <f t="shared" si="77"/>
        <v>183493.56999999998</v>
      </c>
      <c r="P160" s="48">
        <f t="shared" si="74"/>
        <v>0.26</v>
      </c>
      <c r="Q160" s="48">
        <f t="shared" si="75"/>
        <v>0.24</v>
      </c>
    </row>
    <row r="161" spans="1:17" x14ac:dyDescent="0.2">
      <c r="A161" t="s">
        <v>9</v>
      </c>
      <c r="B161" s="94">
        <v>153055</v>
      </c>
      <c r="C161" s="24">
        <f>ROUND(B161/$B168,4)</f>
        <v>7.2999999999999995E-2</v>
      </c>
      <c r="D161" s="22">
        <f t="shared" si="76"/>
        <v>922581</v>
      </c>
      <c r="E161" s="25">
        <v>5533.19</v>
      </c>
      <c r="F161" s="25">
        <v>719.31</v>
      </c>
      <c r="G161" s="96">
        <f t="shared" si="71"/>
        <v>6252.5</v>
      </c>
      <c r="H161" s="108">
        <v>2.7</v>
      </c>
      <c r="I161" s="25">
        <v>33076.120000000003</v>
      </c>
      <c r="J161" s="25">
        <v>4299.8900000000003</v>
      </c>
      <c r="K161" s="25"/>
      <c r="L161" s="96">
        <f t="shared" si="72"/>
        <v>37376.01</v>
      </c>
      <c r="M161" s="2">
        <f t="shared" si="73"/>
        <v>43628.51</v>
      </c>
      <c r="N161" s="4">
        <f t="shared" si="70"/>
        <v>39337.090000000004</v>
      </c>
      <c r="O161" s="4">
        <f t="shared" si="77"/>
        <v>222830.65999999997</v>
      </c>
      <c r="P161" s="48">
        <f t="shared" si="74"/>
        <v>0.26</v>
      </c>
      <c r="Q161" s="48">
        <f t="shared" si="75"/>
        <v>0.24</v>
      </c>
    </row>
    <row r="162" spans="1:17" x14ac:dyDescent="0.2">
      <c r="A162" t="s">
        <v>10</v>
      </c>
      <c r="B162" s="94">
        <v>196142.1</v>
      </c>
      <c r="C162" s="24">
        <f>ROUND(B162/$B168,4)</f>
        <v>9.3600000000000003E-2</v>
      </c>
      <c r="D162" s="22">
        <f t="shared" si="76"/>
        <v>1118723.1000000001</v>
      </c>
      <c r="E162" s="25">
        <v>4236.53</v>
      </c>
      <c r="F162" s="25">
        <v>550.75</v>
      </c>
      <c r="G162" s="96">
        <f t="shared" si="71"/>
        <v>4787.28</v>
      </c>
      <c r="H162" s="108">
        <v>3.27</v>
      </c>
      <c r="I162" s="25">
        <v>37351.160000000003</v>
      </c>
      <c r="J162" s="25">
        <v>4855.6499999999996</v>
      </c>
      <c r="K162" s="25"/>
      <c r="L162" s="96">
        <f t="shared" si="72"/>
        <v>42206.810000000005</v>
      </c>
      <c r="M162" s="2">
        <f t="shared" si="73"/>
        <v>46994.090000000004</v>
      </c>
      <c r="N162" s="4">
        <f t="shared" si="70"/>
        <v>42371.62</v>
      </c>
      <c r="O162" s="4">
        <f t="shared" si="77"/>
        <v>265202.27999999997</v>
      </c>
      <c r="P162" s="48">
        <f t="shared" si="74"/>
        <v>0.22</v>
      </c>
      <c r="Q162" s="48">
        <f t="shared" si="75"/>
        <v>0.24</v>
      </c>
    </row>
    <row r="163" spans="1:17" x14ac:dyDescent="0.2">
      <c r="A163" t="s">
        <v>11</v>
      </c>
      <c r="B163" s="94">
        <v>242968</v>
      </c>
      <c r="C163" s="24">
        <f>ROUND(B163/$B168,4)</f>
        <v>0.1159</v>
      </c>
      <c r="D163" s="22">
        <f t="shared" si="76"/>
        <v>1361691.1</v>
      </c>
      <c r="E163" s="25">
        <v>4512</v>
      </c>
      <c r="F163" s="25">
        <v>586.55999999999995</v>
      </c>
      <c r="G163" s="96">
        <f t="shared" si="71"/>
        <v>5098.5599999999995</v>
      </c>
      <c r="H163" s="108">
        <v>2.99</v>
      </c>
      <c r="I163" s="25">
        <v>45683.98</v>
      </c>
      <c r="J163" s="25">
        <v>5938.92</v>
      </c>
      <c r="K163" s="25"/>
      <c r="L163" s="96">
        <f t="shared" si="72"/>
        <v>51622.9</v>
      </c>
      <c r="M163" s="2">
        <f t="shared" si="73"/>
        <v>56721.46</v>
      </c>
      <c r="N163" s="4">
        <f t="shared" si="70"/>
        <v>51142.170000000006</v>
      </c>
      <c r="O163" s="4">
        <f t="shared" si="77"/>
        <v>316344.44999999995</v>
      </c>
      <c r="P163" s="48">
        <f t="shared" si="74"/>
        <v>0.21</v>
      </c>
      <c r="Q163" s="48">
        <f t="shared" si="75"/>
        <v>0.23</v>
      </c>
    </row>
    <row r="164" spans="1:17" x14ac:dyDescent="0.2">
      <c r="A164" t="s">
        <v>12</v>
      </c>
      <c r="B164" s="94">
        <v>269058</v>
      </c>
      <c r="C164" s="24">
        <f>ROUND(B164/$B168,4)</f>
        <v>0.1283</v>
      </c>
      <c r="D164" s="22">
        <f t="shared" si="76"/>
        <v>1630749.1</v>
      </c>
      <c r="E164" s="25">
        <v>6489.15</v>
      </c>
      <c r="F164" s="25">
        <v>843.59</v>
      </c>
      <c r="G164" s="96">
        <f t="shared" si="71"/>
        <v>7332.74</v>
      </c>
      <c r="H164" s="108">
        <v>2.87</v>
      </c>
      <c r="I164" s="25">
        <v>48447.78</v>
      </c>
      <c r="J164" s="25">
        <v>6298.21</v>
      </c>
      <c r="K164" s="25"/>
      <c r="L164" s="96">
        <f t="shared" si="72"/>
        <v>54745.99</v>
      </c>
      <c r="M164" s="2">
        <f t="shared" si="73"/>
        <v>62078.729999999996</v>
      </c>
      <c r="N164" s="4">
        <f t="shared" si="70"/>
        <v>55972.49</v>
      </c>
      <c r="O164" s="4">
        <f t="shared" si="77"/>
        <v>372316.93999999994</v>
      </c>
      <c r="P164" s="48">
        <f t="shared" si="74"/>
        <v>0.21</v>
      </c>
      <c r="Q164" s="48">
        <f t="shared" si="75"/>
        <v>0.23</v>
      </c>
    </row>
    <row r="165" spans="1:17" x14ac:dyDescent="0.2">
      <c r="A165" t="s">
        <v>13</v>
      </c>
      <c r="B165" s="94">
        <v>249625</v>
      </c>
      <c r="C165" s="24">
        <f>ROUND(B165/$B168,4)</f>
        <v>0.1191</v>
      </c>
      <c r="D165" s="22">
        <f t="shared" si="76"/>
        <v>1880374.1</v>
      </c>
      <c r="E165" s="25">
        <v>6619.12</v>
      </c>
      <c r="F165" s="25">
        <v>860.49</v>
      </c>
      <c r="G165" s="96">
        <f t="shared" si="71"/>
        <v>7479.61</v>
      </c>
      <c r="H165" s="108">
        <v>2.9</v>
      </c>
      <c r="I165" s="25">
        <v>48275.5</v>
      </c>
      <c r="J165" s="25">
        <v>6275.82</v>
      </c>
      <c r="K165" s="25"/>
      <c r="L165" s="96">
        <f t="shared" si="72"/>
        <v>54551.32</v>
      </c>
      <c r="M165" s="2">
        <f t="shared" si="73"/>
        <v>62030.93</v>
      </c>
      <c r="N165" s="4">
        <f t="shared" si="70"/>
        <v>55929.38</v>
      </c>
      <c r="O165" s="4">
        <f t="shared" si="77"/>
        <v>428246.31999999995</v>
      </c>
      <c r="P165" s="48">
        <f t="shared" si="74"/>
        <v>0.22</v>
      </c>
      <c r="Q165" s="48">
        <f t="shared" si="75"/>
        <v>0.23</v>
      </c>
    </row>
    <row r="166" spans="1:17" x14ac:dyDescent="0.2">
      <c r="A166" t="s">
        <v>14</v>
      </c>
      <c r="B166" s="94">
        <v>216113</v>
      </c>
      <c r="C166" s="24">
        <f>ROUND(B166/$B168,4)</f>
        <v>0.1031</v>
      </c>
      <c r="D166" s="22">
        <f t="shared" si="76"/>
        <v>2096487.1</v>
      </c>
      <c r="E166" s="25">
        <v>6366.02</v>
      </c>
      <c r="F166" s="25">
        <v>827.58</v>
      </c>
      <c r="G166" s="96">
        <f t="shared" si="71"/>
        <v>7193.6</v>
      </c>
      <c r="H166" s="108">
        <v>3.27</v>
      </c>
      <c r="I166" s="25">
        <v>43525.37</v>
      </c>
      <c r="J166" s="25">
        <v>5658.3</v>
      </c>
      <c r="K166" s="25"/>
      <c r="L166" s="96">
        <f t="shared" si="72"/>
        <v>49183.670000000006</v>
      </c>
      <c r="M166" s="2">
        <f t="shared" si="73"/>
        <v>56377.270000000004</v>
      </c>
      <c r="N166" s="4">
        <f t="shared" si="70"/>
        <v>50831.839999999997</v>
      </c>
      <c r="O166" s="4">
        <f t="shared" si="77"/>
        <v>479078.15999999992</v>
      </c>
      <c r="P166" s="48">
        <f t="shared" si="74"/>
        <v>0.24</v>
      </c>
      <c r="Q166" s="48">
        <f t="shared" si="75"/>
        <v>0.23</v>
      </c>
    </row>
    <row r="167" spans="1:17" x14ac:dyDescent="0.2">
      <c r="B167" s="94"/>
      <c r="C167" s="22"/>
      <c r="D167" s="22"/>
      <c r="E167" s="25"/>
      <c r="F167" s="25"/>
      <c r="G167" s="96"/>
      <c r="H167" s="109"/>
      <c r="I167" s="25"/>
      <c r="J167" s="25"/>
      <c r="K167" s="25"/>
      <c r="L167" s="96"/>
      <c r="M167" s="2"/>
      <c r="P167" s="47"/>
      <c r="Q167" s="47"/>
    </row>
    <row r="168" spans="1:17" ht="13.5" thickBot="1" x14ac:dyDescent="0.25">
      <c r="A168" t="s">
        <v>24</v>
      </c>
      <c r="B168" s="97">
        <f>SUM(B155:B166)</f>
        <v>2096487.1</v>
      </c>
      <c r="C168" s="98">
        <f>SUM(C155:C166)</f>
        <v>1.0001</v>
      </c>
      <c r="D168" s="99"/>
      <c r="E168" s="100">
        <f>SUM(E155:E166)</f>
        <v>63665.290000000008</v>
      </c>
      <c r="F168" s="100">
        <f>SUM(F155:F166)</f>
        <v>8351.8799999999992</v>
      </c>
      <c r="G168" s="101">
        <f>SUM(G155:G166)</f>
        <v>72017.17</v>
      </c>
      <c r="H168" s="110"/>
      <c r="I168" s="100">
        <f t="shared" ref="I168:N168" si="78">SUM(I155:I166)</f>
        <v>406538.63</v>
      </c>
      <c r="J168" s="100">
        <f t="shared" si="78"/>
        <v>52850.03</v>
      </c>
      <c r="K168" s="100">
        <f t="shared" si="78"/>
        <v>0</v>
      </c>
      <c r="L168" s="101">
        <f t="shared" si="78"/>
        <v>459388.66000000003</v>
      </c>
      <c r="M168" s="2">
        <f t="shared" si="78"/>
        <v>531405.82999999996</v>
      </c>
      <c r="N168" s="2">
        <f t="shared" si="78"/>
        <v>479078.15999999992</v>
      </c>
      <c r="O168" s="2"/>
      <c r="P168" s="47">
        <f>ROUND(N168/B168,2)</f>
        <v>0.23</v>
      </c>
      <c r="Q168" s="47"/>
    </row>
    <row r="171" spans="1:17" ht="13.5" thickBot="1" x14ac:dyDescent="0.25">
      <c r="D171" s="87" t="s">
        <v>149</v>
      </c>
    </row>
    <row r="172" spans="1:17" x14ac:dyDescent="0.2">
      <c r="B172" s="88" t="s">
        <v>58</v>
      </c>
      <c r="C172" s="89"/>
      <c r="D172" s="89"/>
      <c r="E172" s="89"/>
      <c r="F172" s="89"/>
      <c r="G172" s="90"/>
      <c r="H172" s="102" t="s">
        <v>59</v>
      </c>
      <c r="I172" s="103"/>
      <c r="J172" s="103"/>
      <c r="K172" s="103"/>
      <c r="L172" s="104"/>
      <c r="P172" s="49"/>
      <c r="Q172" s="49"/>
    </row>
    <row r="173" spans="1:17" x14ac:dyDescent="0.2">
      <c r="B173" s="91" t="s">
        <v>123</v>
      </c>
      <c r="C173" s="19"/>
      <c r="D173" s="19" t="s">
        <v>30</v>
      </c>
      <c r="E173" s="19"/>
      <c r="F173" s="19"/>
      <c r="G173" s="92" t="s">
        <v>21</v>
      </c>
      <c r="H173" s="105"/>
      <c r="I173" s="35"/>
      <c r="J173" s="35"/>
      <c r="K173" s="35"/>
      <c r="L173" s="106" t="s">
        <v>21</v>
      </c>
      <c r="M173" s="3" t="s">
        <v>21</v>
      </c>
      <c r="N173" s="3" t="s">
        <v>23</v>
      </c>
      <c r="O173" s="3" t="s">
        <v>30</v>
      </c>
      <c r="P173" s="46" t="s">
        <v>25</v>
      </c>
      <c r="Q173" s="46" t="s">
        <v>32</v>
      </c>
    </row>
    <row r="174" spans="1:17" x14ac:dyDescent="0.2">
      <c r="A174" s="1" t="s">
        <v>151</v>
      </c>
      <c r="B174" s="93" t="s">
        <v>15</v>
      </c>
      <c r="C174" s="19" t="s">
        <v>44</v>
      </c>
      <c r="D174" s="19" t="s">
        <v>15</v>
      </c>
      <c r="E174" s="19" t="s">
        <v>16</v>
      </c>
      <c r="F174" s="19" t="s">
        <v>62</v>
      </c>
      <c r="G174" s="92" t="s">
        <v>16</v>
      </c>
      <c r="H174" s="107" t="s">
        <v>28</v>
      </c>
      <c r="I174" s="19" t="s">
        <v>18</v>
      </c>
      <c r="J174" s="19" t="s">
        <v>63</v>
      </c>
      <c r="K174" s="19" t="s">
        <v>20</v>
      </c>
      <c r="L174" s="92" t="s">
        <v>18</v>
      </c>
      <c r="M174" s="3" t="s">
        <v>22</v>
      </c>
      <c r="N174" s="3" t="s">
        <v>22</v>
      </c>
      <c r="O174" s="3" t="s">
        <v>34</v>
      </c>
      <c r="P174" s="46" t="s">
        <v>15</v>
      </c>
      <c r="Q174" s="46" t="s">
        <v>33</v>
      </c>
    </row>
    <row r="175" spans="1:17" x14ac:dyDescent="0.2">
      <c r="B175" s="94"/>
      <c r="C175" s="22"/>
      <c r="D175" s="22" t="s">
        <v>31</v>
      </c>
      <c r="E175" s="22"/>
      <c r="F175" s="22"/>
      <c r="G175" s="95"/>
      <c r="H175" s="107"/>
      <c r="I175" s="22"/>
      <c r="J175" s="22"/>
      <c r="K175" s="22"/>
      <c r="L175" s="95"/>
    </row>
    <row r="176" spans="1:17" x14ac:dyDescent="0.2">
      <c r="A176" t="s">
        <v>3</v>
      </c>
      <c r="B176" s="94">
        <v>174103</v>
      </c>
      <c r="C176" s="24">
        <f>ROUND(B176/$B189,4)</f>
        <v>7.8200000000000006E-2</v>
      </c>
      <c r="D176" s="22">
        <f>+B176</f>
        <v>174103</v>
      </c>
      <c r="E176" s="25">
        <v>7449.68</v>
      </c>
      <c r="F176" s="25">
        <v>968.46</v>
      </c>
      <c r="G176" s="96">
        <f>+E176+F176</f>
        <v>8418.14</v>
      </c>
      <c r="H176" s="108">
        <v>3.48</v>
      </c>
      <c r="I176" s="25">
        <v>42555.45</v>
      </c>
      <c r="J176" s="25">
        <v>5532.21</v>
      </c>
      <c r="K176" s="25">
        <v>0</v>
      </c>
      <c r="L176" s="96">
        <f>+I176+J176+K176</f>
        <v>48087.659999999996</v>
      </c>
      <c r="M176" s="2">
        <f>+G176+L176</f>
        <v>56505.799999999996</v>
      </c>
      <c r="N176" s="4">
        <f t="shared" ref="N176:N187" si="79">+E176+ROUND(F176*0.145,2)+I176+ROUND(J176*0.145,2)</f>
        <v>50947.729999999996</v>
      </c>
      <c r="O176" s="4">
        <f>+N176</f>
        <v>50947.729999999996</v>
      </c>
      <c r="P176" s="48">
        <f>IF(B176="","",ROUND(N176/B176,2))</f>
        <v>0.28999999999999998</v>
      </c>
      <c r="Q176" s="48">
        <f>ROUND(O176/D176,2)</f>
        <v>0.28999999999999998</v>
      </c>
    </row>
    <row r="177" spans="1:17" x14ac:dyDescent="0.2">
      <c r="A177" t="s">
        <v>4</v>
      </c>
      <c r="B177" s="94">
        <v>144501</v>
      </c>
      <c r="C177" s="24">
        <f>ROUND(B177/$B189,4)</f>
        <v>6.4899999999999999E-2</v>
      </c>
      <c r="D177" s="22">
        <f>+D176+B177</f>
        <v>318604</v>
      </c>
      <c r="E177" s="25">
        <v>5931.56</v>
      </c>
      <c r="F177" s="25">
        <v>771.1</v>
      </c>
      <c r="G177" s="96">
        <f t="shared" ref="G177:G187" si="80">+E177+F177</f>
        <v>6702.6600000000008</v>
      </c>
      <c r="H177" s="108">
        <v>3.38</v>
      </c>
      <c r="I177" s="25">
        <v>33124.589999999997</v>
      </c>
      <c r="J177" s="25">
        <v>4306.2</v>
      </c>
      <c r="K177" s="25"/>
      <c r="L177" s="96">
        <f t="shared" ref="L177:L187" si="81">+I177+J177+K177</f>
        <v>37430.789999999994</v>
      </c>
      <c r="M177" s="2">
        <f t="shared" ref="M177:M187" si="82">+G177+L177</f>
        <v>44133.45</v>
      </c>
      <c r="N177" s="4">
        <f t="shared" si="79"/>
        <v>39792.36</v>
      </c>
      <c r="O177" s="4">
        <f>+O176+N177</f>
        <v>90740.09</v>
      </c>
      <c r="P177" s="48">
        <f t="shared" ref="P177:P187" si="83">IF(B177="","",ROUND(N177/B177,2))</f>
        <v>0.28000000000000003</v>
      </c>
      <c r="Q177" s="48">
        <f t="shared" ref="Q177:Q187" si="84">ROUND(O177/D177,2)</f>
        <v>0.28000000000000003</v>
      </c>
    </row>
    <row r="178" spans="1:17" x14ac:dyDescent="0.2">
      <c r="A178" t="s">
        <v>5</v>
      </c>
      <c r="B178" s="94">
        <v>111357</v>
      </c>
      <c r="C178" s="24">
        <f>ROUND(B178/$B189,4)</f>
        <v>0.05</v>
      </c>
      <c r="D178" s="22">
        <f t="shared" ref="D178:D187" si="85">+D177+B178</f>
        <v>429961</v>
      </c>
      <c r="E178" s="25">
        <v>5669.42</v>
      </c>
      <c r="F178" s="25">
        <v>737.02</v>
      </c>
      <c r="G178" s="96">
        <f t="shared" si="80"/>
        <v>6406.4400000000005</v>
      </c>
      <c r="H178" s="108">
        <v>3.12</v>
      </c>
      <c r="I178" s="25">
        <v>27306.31</v>
      </c>
      <c r="J178" s="25">
        <v>3549.82</v>
      </c>
      <c r="K178" s="25"/>
      <c r="L178" s="96">
        <f t="shared" si="81"/>
        <v>30856.13</v>
      </c>
      <c r="M178" s="2">
        <f t="shared" si="82"/>
        <v>37262.57</v>
      </c>
      <c r="N178" s="4">
        <f t="shared" si="79"/>
        <v>33597.32</v>
      </c>
      <c r="O178" s="4">
        <f t="shared" ref="O178:O187" si="86">+O177+N178</f>
        <v>124337.41</v>
      </c>
      <c r="P178" s="48">
        <f t="shared" si="83"/>
        <v>0.3</v>
      </c>
      <c r="Q178" s="48">
        <f t="shared" si="84"/>
        <v>0.28999999999999998</v>
      </c>
    </row>
    <row r="179" spans="1:17" x14ac:dyDescent="0.2">
      <c r="A179" t="s">
        <v>6</v>
      </c>
      <c r="B179" s="94">
        <v>100734</v>
      </c>
      <c r="C179" s="24">
        <f>ROUND(B179/$B189,4)</f>
        <v>4.53E-2</v>
      </c>
      <c r="D179" s="22">
        <f t="shared" si="85"/>
        <v>530695</v>
      </c>
      <c r="E179" s="25">
        <v>5598.23</v>
      </c>
      <c r="F179" s="25">
        <v>727.77</v>
      </c>
      <c r="G179" s="96">
        <f t="shared" si="80"/>
        <v>6326</v>
      </c>
      <c r="H179" s="108">
        <v>3.27</v>
      </c>
      <c r="I179" s="25">
        <v>43525.37</v>
      </c>
      <c r="J179" s="25">
        <v>5658.3</v>
      </c>
      <c r="K179" s="25"/>
      <c r="L179" s="96">
        <f t="shared" si="81"/>
        <v>49183.670000000006</v>
      </c>
      <c r="M179" s="2">
        <f t="shared" si="82"/>
        <v>55509.670000000006</v>
      </c>
      <c r="N179" s="4">
        <f t="shared" si="79"/>
        <v>50049.58</v>
      </c>
      <c r="O179" s="4">
        <f t="shared" si="86"/>
        <v>174386.99</v>
      </c>
      <c r="P179" s="48">
        <f t="shared" si="83"/>
        <v>0.5</v>
      </c>
      <c r="Q179" s="48">
        <f t="shared" si="84"/>
        <v>0.33</v>
      </c>
    </row>
    <row r="180" spans="1:17" x14ac:dyDescent="0.2">
      <c r="A180" t="s">
        <v>7</v>
      </c>
      <c r="B180" s="94">
        <v>103595</v>
      </c>
      <c r="C180" s="24">
        <f>ROUND(B180/$B189,4)</f>
        <v>4.6600000000000003E-2</v>
      </c>
      <c r="D180" s="22">
        <f t="shared" si="85"/>
        <v>634290</v>
      </c>
      <c r="E180" s="25">
        <v>5598.66</v>
      </c>
      <c r="F180" s="25">
        <v>727.83</v>
      </c>
      <c r="G180" s="96">
        <f t="shared" si="80"/>
        <v>6326.49</v>
      </c>
      <c r="H180" s="108">
        <v>2.2400000000000002</v>
      </c>
      <c r="I180" s="25">
        <v>9631.98</v>
      </c>
      <c r="J180" s="25">
        <v>1252.1600000000001</v>
      </c>
      <c r="K180" s="25"/>
      <c r="L180" s="96">
        <f t="shared" si="81"/>
        <v>10884.14</v>
      </c>
      <c r="M180" s="2">
        <f t="shared" si="82"/>
        <v>17210.629999999997</v>
      </c>
      <c r="N180" s="4">
        <f t="shared" si="79"/>
        <v>15517.74</v>
      </c>
      <c r="O180" s="4">
        <f t="shared" si="86"/>
        <v>189904.72999999998</v>
      </c>
      <c r="P180" s="48">
        <f t="shared" si="83"/>
        <v>0.15</v>
      </c>
      <c r="Q180" s="48">
        <f t="shared" si="84"/>
        <v>0.3</v>
      </c>
    </row>
    <row r="181" spans="1:17" x14ac:dyDescent="0.2">
      <c r="A181" t="s">
        <v>8</v>
      </c>
      <c r="B181" s="94">
        <v>117702</v>
      </c>
      <c r="C181" s="24">
        <f>ROUND(B181/$B189,4)</f>
        <v>5.2900000000000003E-2</v>
      </c>
      <c r="D181" s="22">
        <f t="shared" si="85"/>
        <v>751992</v>
      </c>
      <c r="E181" s="25">
        <v>5644.49</v>
      </c>
      <c r="F181" s="25">
        <v>733.78</v>
      </c>
      <c r="G181" s="96">
        <f t="shared" si="80"/>
        <v>6378.2699999999995</v>
      </c>
      <c r="H181" s="108">
        <v>1.97</v>
      </c>
      <c r="I181" s="25">
        <v>11759.01</v>
      </c>
      <c r="J181" s="25">
        <v>1528.67</v>
      </c>
      <c r="K181" s="25"/>
      <c r="L181" s="96">
        <f t="shared" si="81"/>
        <v>13287.68</v>
      </c>
      <c r="M181" s="2">
        <f t="shared" si="82"/>
        <v>19665.95</v>
      </c>
      <c r="N181" s="4">
        <f t="shared" si="79"/>
        <v>17731.560000000001</v>
      </c>
      <c r="O181" s="4">
        <f t="shared" si="86"/>
        <v>207636.28999999998</v>
      </c>
      <c r="P181" s="48">
        <f t="shared" si="83"/>
        <v>0.15</v>
      </c>
      <c r="Q181" s="48">
        <f t="shared" si="84"/>
        <v>0.28000000000000003</v>
      </c>
    </row>
    <row r="182" spans="1:17" x14ac:dyDescent="0.2">
      <c r="A182" t="s">
        <v>9</v>
      </c>
      <c r="B182" s="94">
        <v>153905</v>
      </c>
      <c r="C182" s="24">
        <f>ROUND(B182/$B189,4)</f>
        <v>6.9199999999999998E-2</v>
      </c>
      <c r="D182" s="22">
        <f t="shared" si="85"/>
        <v>905897</v>
      </c>
      <c r="E182" s="25">
        <v>5856.61</v>
      </c>
      <c r="F182" s="25">
        <v>761.36</v>
      </c>
      <c r="G182" s="96">
        <f t="shared" si="80"/>
        <v>6617.9699999999993</v>
      </c>
      <c r="H182" s="108">
        <v>3.09</v>
      </c>
      <c r="I182" s="25">
        <v>30622.99</v>
      </c>
      <c r="J182" s="25">
        <v>3980.99</v>
      </c>
      <c r="K182" s="25"/>
      <c r="L182" s="96">
        <f t="shared" si="81"/>
        <v>34603.980000000003</v>
      </c>
      <c r="M182" s="2">
        <f t="shared" si="82"/>
        <v>41221.950000000004</v>
      </c>
      <c r="N182" s="4">
        <f t="shared" si="79"/>
        <v>37167.24</v>
      </c>
      <c r="O182" s="4">
        <f t="shared" si="86"/>
        <v>244803.52999999997</v>
      </c>
      <c r="P182" s="48">
        <f t="shared" si="83"/>
        <v>0.24</v>
      </c>
      <c r="Q182" s="48">
        <f t="shared" si="84"/>
        <v>0.27</v>
      </c>
    </row>
    <row r="183" spans="1:17" x14ac:dyDescent="0.2">
      <c r="A183" t="s">
        <v>10</v>
      </c>
      <c r="B183" s="94">
        <v>216000</v>
      </c>
      <c r="C183" s="24">
        <f>ROUND(B183/$B189,4)</f>
        <v>9.7100000000000006E-2</v>
      </c>
      <c r="D183" s="22">
        <f t="shared" si="85"/>
        <v>1121897</v>
      </c>
      <c r="E183" s="25">
        <v>6172.39</v>
      </c>
      <c r="F183" s="25">
        <v>802.41</v>
      </c>
      <c r="G183" s="96">
        <f t="shared" si="80"/>
        <v>6974.8</v>
      </c>
      <c r="H183" s="108">
        <v>3.26</v>
      </c>
      <c r="I183" s="25">
        <v>39586.21</v>
      </c>
      <c r="J183" s="25">
        <v>5146.21</v>
      </c>
      <c r="K183" s="25"/>
      <c r="L183" s="96">
        <f t="shared" si="81"/>
        <v>44732.42</v>
      </c>
      <c r="M183" s="2">
        <f t="shared" si="82"/>
        <v>51707.22</v>
      </c>
      <c r="N183" s="4">
        <f t="shared" si="79"/>
        <v>46621.149999999994</v>
      </c>
      <c r="O183" s="4">
        <f t="shared" si="86"/>
        <v>291424.67999999993</v>
      </c>
      <c r="P183" s="48">
        <f t="shared" si="83"/>
        <v>0.22</v>
      </c>
      <c r="Q183" s="48">
        <f t="shared" si="84"/>
        <v>0.26</v>
      </c>
    </row>
    <row r="184" spans="1:17" x14ac:dyDescent="0.2">
      <c r="A184" t="s">
        <v>11</v>
      </c>
      <c r="B184" s="94">
        <v>297272.3</v>
      </c>
      <c r="C184" s="24">
        <f>ROUND(B184/$B189,4)</f>
        <v>0.1336</v>
      </c>
      <c r="D184" s="22">
        <f t="shared" si="85"/>
        <v>1419169.3</v>
      </c>
      <c r="E184" s="25">
        <v>6659.06</v>
      </c>
      <c r="F184" s="25">
        <v>865.68</v>
      </c>
      <c r="G184" s="96">
        <f t="shared" si="80"/>
        <v>7524.7400000000007</v>
      </c>
      <c r="H184" s="108">
        <v>3.7</v>
      </c>
      <c r="I184" s="25">
        <v>58376.76</v>
      </c>
      <c r="J184" s="25">
        <v>7588.98</v>
      </c>
      <c r="K184" s="25"/>
      <c r="L184" s="96">
        <f t="shared" si="81"/>
        <v>65965.740000000005</v>
      </c>
      <c r="M184" s="2">
        <f t="shared" si="82"/>
        <v>73490.48000000001</v>
      </c>
      <c r="N184" s="4">
        <f t="shared" si="79"/>
        <v>66261.740000000005</v>
      </c>
      <c r="O184" s="4">
        <f t="shared" si="86"/>
        <v>357686.41999999993</v>
      </c>
      <c r="P184" s="48">
        <f t="shared" si="83"/>
        <v>0.22</v>
      </c>
      <c r="Q184" s="48">
        <f t="shared" si="84"/>
        <v>0.25</v>
      </c>
    </row>
    <row r="185" spans="1:17" x14ac:dyDescent="0.2">
      <c r="A185" t="s">
        <v>12</v>
      </c>
      <c r="B185" s="94">
        <v>299311.90000000002</v>
      </c>
      <c r="C185" s="24">
        <f>ROUND(B185/$B189,4)</f>
        <v>0.13450000000000001</v>
      </c>
      <c r="D185" s="22">
        <f t="shared" si="85"/>
        <v>1718481.2000000002</v>
      </c>
      <c r="E185" s="25">
        <v>6612.7</v>
      </c>
      <c r="F185" s="25">
        <v>859.65</v>
      </c>
      <c r="G185" s="96">
        <f t="shared" si="80"/>
        <v>7472.3499999999995</v>
      </c>
      <c r="H185" s="108">
        <v>4.07</v>
      </c>
      <c r="I185" s="25">
        <v>67112</v>
      </c>
      <c r="J185" s="25">
        <v>8724.56</v>
      </c>
      <c r="K185" s="25"/>
      <c r="L185" s="96">
        <f t="shared" si="81"/>
        <v>75836.56</v>
      </c>
      <c r="M185" s="2">
        <f t="shared" si="82"/>
        <v>83308.91</v>
      </c>
      <c r="N185" s="4">
        <f t="shared" si="79"/>
        <v>75114.41</v>
      </c>
      <c r="O185" s="4">
        <f t="shared" si="86"/>
        <v>432800.82999999996</v>
      </c>
      <c r="P185" s="48">
        <f t="shared" si="83"/>
        <v>0.25</v>
      </c>
      <c r="Q185" s="48">
        <f t="shared" si="84"/>
        <v>0.25</v>
      </c>
    </row>
    <row r="186" spans="1:17" x14ac:dyDescent="0.2">
      <c r="A186" t="s">
        <v>13</v>
      </c>
      <c r="B186" s="94">
        <v>253307.8</v>
      </c>
      <c r="C186" s="24">
        <f>ROUND(B186/$B189,4)</f>
        <v>0.1138</v>
      </c>
      <c r="D186" s="22">
        <f t="shared" si="85"/>
        <v>1971789.0000000002</v>
      </c>
      <c r="E186" s="25">
        <v>6440.06</v>
      </c>
      <c r="F186" s="25">
        <v>837.21</v>
      </c>
      <c r="G186" s="96">
        <f t="shared" si="80"/>
        <v>7277.27</v>
      </c>
      <c r="H186" s="108">
        <v>7.2</v>
      </c>
      <c r="I186" s="25">
        <v>69132.84</v>
      </c>
      <c r="J186" s="25">
        <v>8987.27</v>
      </c>
      <c r="K186" s="25"/>
      <c r="L186" s="96">
        <f t="shared" si="81"/>
        <v>78120.11</v>
      </c>
      <c r="M186" s="2">
        <f t="shared" si="82"/>
        <v>85397.38</v>
      </c>
      <c r="N186" s="4">
        <f t="shared" si="79"/>
        <v>76997.45</v>
      </c>
      <c r="O186" s="4">
        <f t="shared" si="86"/>
        <v>509798.27999999997</v>
      </c>
      <c r="P186" s="48">
        <f t="shared" si="83"/>
        <v>0.3</v>
      </c>
      <c r="Q186" s="48">
        <f t="shared" si="84"/>
        <v>0.26</v>
      </c>
    </row>
    <row r="187" spans="1:17" x14ac:dyDescent="0.2">
      <c r="A187" t="s">
        <v>14</v>
      </c>
      <c r="B187" s="94">
        <v>253505.7</v>
      </c>
      <c r="C187" s="24">
        <f>ROUND(B187/$B189,4)</f>
        <v>0.1139</v>
      </c>
      <c r="D187" s="22">
        <f t="shared" si="85"/>
        <v>2225294.7000000002</v>
      </c>
      <c r="E187" s="25">
        <v>6355.62</v>
      </c>
      <c r="F187" s="25">
        <v>826.23</v>
      </c>
      <c r="G187" s="96">
        <f t="shared" si="80"/>
        <v>7181.85</v>
      </c>
      <c r="H187" s="108">
        <v>5.0199999999999996</v>
      </c>
      <c r="I187" s="25">
        <v>56860.65</v>
      </c>
      <c r="J187" s="25">
        <v>7391.88</v>
      </c>
      <c r="K187" s="25"/>
      <c r="L187" s="96">
        <f t="shared" si="81"/>
        <v>64252.53</v>
      </c>
      <c r="M187" s="2">
        <f t="shared" si="82"/>
        <v>71434.38</v>
      </c>
      <c r="N187" s="4">
        <f t="shared" si="79"/>
        <v>64407.89</v>
      </c>
      <c r="O187" s="4">
        <f t="shared" si="86"/>
        <v>574206.16999999993</v>
      </c>
      <c r="P187" s="48">
        <f t="shared" si="83"/>
        <v>0.25</v>
      </c>
      <c r="Q187" s="48">
        <f t="shared" si="84"/>
        <v>0.26</v>
      </c>
    </row>
    <row r="188" spans="1:17" x14ac:dyDescent="0.2">
      <c r="B188" s="94"/>
      <c r="C188" s="22"/>
      <c r="D188" s="22"/>
      <c r="E188" s="25"/>
      <c r="F188" s="25"/>
      <c r="G188" s="96"/>
      <c r="H188" s="109"/>
      <c r="I188" s="25"/>
      <c r="J188" s="25"/>
      <c r="K188" s="25"/>
      <c r="L188" s="96"/>
      <c r="M188" s="2"/>
      <c r="P188" s="47"/>
      <c r="Q188" s="47"/>
    </row>
    <row r="189" spans="1:17" ht="13.5" thickBot="1" x14ac:dyDescent="0.25">
      <c r="A189" t="s">
        <v>24</v>
      </c>
      <c r="B189" s="97">
        <f>SUM(B176:B187)</f>
        <v>2225294.7000000002</v>
      </c>
      <c r="C189" s="98">
        <f>SUM(C176:C187)</f>
        <v>1</v>
      </c>
      <c r="D189" s="99"/>
      <c r="E189" s="100">
        <f>SUM(E176:E187)</f>
        <v>73988.479999999996</v>
      </c>
      <c r="F189" s="100">
        <f>SUM(F176:F187)</f>
        <v>9618.5</v>
      </c>
      <c r="G189" s="101">
        <f>SUM(G176:G187)</f>
        <v>83606.98000000001</v>
      </c>
      <c r="H189" s="110"/>
      <c r="I189" s="100">
        <f t="shared" ref="I189:N189" si="87">SUM(I176:I187)</f>
        <v>489594.16000000003</v>
      </c>
      <c r="J189" s="100">
        <f t="shared" si="87"/>
        <v>63647.249999999993</v>
      </c>
      <c r="K189" s="100">
        <f t="shared" si="87"/>
        <v>0</v>
      </c>
      <c r="L189" s="101">
        <f t="shared" si="87"/>
        <v>553241.41</v>
      </c>
      <c r="M189" s="2">
        <f t="shared" si="87"/>
        <v>636848.39</v>
      </c>
      <c r="N189" s="2">
        <f t="shared" si="87"/>
        <v>574206.16999999993</v>
      </c>
      <c r="O189" s="2"/>
      <c r="P189" s="47">
        <f>ROUND(N189/B189,2)</f>
        <v>0.26</v>
      </c>
      <c r="Q189" s="47"/>
    </row>
    <row r="192" spans="1:17" ht="13.5" thickBot="1" x14ac:dyDescent="0.25">
      <c r="D192" s="87" t="s">
        <v>149</v>
      </c>
    </row>
    <row r="193" spans="1:17" x14ac:dyDescent="0.2">
      <c r="B193" s="88" t="s">
        <v>58</v>
      </c>
      <c r="C193" s="89"/>
      <c r="D193" s="89"/>
      <c r="E193" s="89"/>
      <c r="F193" s="89"/>
      <c r="G193" s="90"/>
      <c r="H193" s="102" t="s">
        <v>59</v>
      </c>
      <c r="I193" s="103"/>
      <c r="J193" s="103"/>
      <c r="K193" s="103"/>
      <c r="L193" s="104"/>
      <c r="P193" s="49"/>
      <c r="Q193" s="49"/>
    </row>
    <row r="194" spans="1:17" x14ac:dyDescent="0.2">
      <c r="B194" s="123" t="s">
        <v>123</v>
      </c>
      <c r="C194" s="19"/>
      <c r="D194" s="19" t="s">
        <v>30</v>
      </c>
      <c r="E194" s="19"/>
      <c r="F194" s="19"/>
      <c r="G194" s="92" t="s">
        <v>21</v>
      </c>
      <c r="H194" s="105"/>
      <c r="I194" s="35"/>
      <c r="J194" s="35"/>
      <c r="K194" s="35"/>
      <c r="L194" s="106" t="s">
        <v>21</v>
      </c>
      <c r="M194" s="3" t="s">
        <v>21</v>
      </c>
      <c r="N194" s="3" t="s">
        <v>23</v>
      </c>
      <c r="O194" s="3" t="s">
        <v>30</v>
      </c>
      <c r="P194" s="46" t="s">
        <v>25</v>
      </c>
      <c r="Q194" s="46" t="s">
        <v>32</v>
      </c>
    </row>
    <row r="195" spans="1:17" x14ac:dyDescent="0.2">
      <c r="A195" s="1" t="s">
        <v>154</v>
      </c>
      <c r="B195" s="93" t="s">
        <v>15</v>
      </c>
      <c r="C195" s="19" t="s">
        <v>44</v>
      </c>
      <c r="D195" s="19" t="s">
        <v>15</v>
      </c>
      <c r="E195" s="19" t="s">
        <v>16</v>
      </c>
      <c r="F195" s="19" t="s">
        <v>62</v>
      </c>
      <c r="G195" s="92" t="s">
        <v>16</v>
      </c>
      <c r="H195" s="107" t="s">
        <v>28</v>
      </c>
      <c r="I195" s="19" t="s">
        <v>18</v>
      </c>
      <c r="J195" s="19" t="s">
        <v>63</v>
      </c>
      <c r="K195" s="19" t="s">
        <v>20</v>
      </c>
      <c r="L195" s="92" t="s">
        <v>18</v>
      </c>
      <c r="M195" s="3" t="s">
        <v>22</v>
      </c>
      <c r="N195" s="3" t="s">
        <v>22</v>
      </c>
      <c r="O195" s="3" t="s">
        <v>34</v>
      </c>
      <c r="P195" s="46" t="s">
        <v>15</v>
      </c>
      <c r="Q195" s="46" t="s">
        <v>33</v>
      </c>
    </row>
    <row r="196" spans="1:17" x14ac:dyDescent="0.2">
      <c r="B196" s="94"/>
      <c r="C196" s="22"/>
      <c r="D196" s="22" t="s">
        <v>31</v>
      </c>
      <c r="E196" s="22"/>
      <c r="F196" s="22"/>
      <c r="G196" s="95"/>
      <c r="H196" s="107"/>
      <c r="I196" s="22"/>
      <c r="J196" s="22"/>
      <c r="K196" s="22"/>
      <c r="L196" s="95"/>
    </row>
    <row r="197" spans="1:17" x14ac:dyDescent="0.2">
      <c r="A197" t="s">
        <v>3</v>
      </c>
      <c r="B197" s="94">
        <v>185434.2</v>
      </c>
      <c r="C197" s="24">
        <f>ROUND(B197/$B210,4)</f>
        <v>8.5900000000000004E-2</v>
      </c>
      <c r="D197" s="22">
        <f>+B197</f>
        <v>185434.2</v>
      </c>
      <c r="E197" s="25">
        <v>6138.86</v>
      </c>
      <c r="F197" s="25">
        <v>798.05</v>
      </c>
      <c r="G197" s="96">
        <f>+E197+F197</f>
        <v>6936.91</v>
      </c>
      <c r="H197" s="108">
        <v>4.53</v>
      </c>
      <c r="I197" s="25">
        <v>45179.44</v>
      </c>
      <c r="J197" s="25">
        <v>5873.33</v>
      </c>
      <c r="K197" s="25">
        <v>0</v>
      </c>
      <c r="L197" s="96">
        <f>+I197+J197+K197</f>
        <v>51052.770000000004</v>
      </c>
      <c r="M197" s="2">
        <f>+G197+L197</f>
        <v>57989.680000000008</v>
      </c>
      <c r="N197" s="4">
        <f t="shared" ref="N197:N208" si="88">+E197+ROUND(F197*0.145,2)+I197+ROUND(J197*0.145,2)</f>
        <v>52285.65</v>
      </c>
      <c r="O197" s="4">
        <f>+N197</f>
        <v>52285.65</v>
      </c>
      <c r="P197" s="48">
        <f>IF(B197="","",ROUND(N197/B197,2))</f>
        <v>0.28000000000000003</v>
      </c>
      <c r="Q197" s="48">
        <f>ROUND(O197/D197,2)</f>
        <v>0.28000000000000003</v>
      </c>
    </row>
    <row r="198" spans="1:17" x14ac:dyDescent="0.2">
      <c r="A198" t="s">
        <v>4</v>
      </c>
      <c r="B198" s="94">
        <v>141752.6</v>
      </c>
      <c r="C198" s="24">
        <f>ROUND(B198/$B210,4)</f>
        <v>6.5699999999999995E-2</v>
      </c>
      <c r="D198" s="22">
        <f>+D197+B198</f>
        <v>327186.80000000005</v>
      </c>
      <c r="E198" s="25">
        <v>5851.81</v>
      </c>
      <c r="F198" s="25">
        <v>760.74</v>
      </c>
      <c r="G198" s="96">
        <f t="shared" ref="G198:G208" si="89">+E198+F198</f>
        <v>6612.55</v>
      </c>
      <c r="H198" s="108">
        <v>4.3499999999999996</v>
      </c>
      <c r="I198" s="25">
        <v>37818.959999999999</v>
      </c>
      <c r="J198" s="25">
        <v>4916.46</v>
      </c>
      <c r="K198" s="25"/>
      <c r="L198" s="96">
        <f t="shared" ref="L198:L208" si="90">+I198+J198+K198</f>
        <v>42735.42</v>
      </c>
      <c r="M198" s="2">
        <f t="shared" ref="M198:M208" si="91">+G198+L198</f>
        <v>49347.97</v>
      </c>
      <c r="N198" s="4">
        <f t="shared" si="88"/>
        <v>44493.97</v>
      </c>
      <c r="O198" s="4">
        <f>+O197+N198</f>
        <v>96779.62</v>
      </c>
      <c r="P198" s="48">
        <f t="shared" ref="P198:P208" si="92">IF(B198="","",ROUND(N198/B198,2))</f>
        <v>0.31</v>
      </c>
      <c r="Q198" s="48">
        <f t="shared" ref="Q198:Q208" si="93">ROUND(O198/D198,2)</f>
        <v>0.3</v>
      </c>
    </row>
    <row r="199" spans="1:17" x14ac:dyDescent="0.2">
      <c r="A199" t="s">
        <v>5</v>
      </c>
      <c r="B199" s="94">
        <v>103651.6</v>
      </c>
      <c r="C199" s="24">
        <f>ROUND(B199/$B210,4)</f>
        <v>4.8000000000000001E-2</v>
      </c>
      <c r="D199" s="22">
        <f t="shared" ref="D199:D208" si="94">+D198+B199</f>
        <v>430838.4</v>
      </c>
      <c r="E199" s="25">
        <v>5627.81</v>
      </c>
      <c r="F199" s="25">
        <v>731.62</v>
      </c>
      <c r="G199" s="96">
        <f t="shared" si="89"/>
        <v>6359.43</v>
      </c>
      <c r="H199" s="108">
        <v>4.4800000000000004</v>
      </c>
      <c r="I199" s="25">
        <v>33442.589999999997</v>
      </c>
      <c r="J199" s="25">
        <v>4347.54</v>
      </c>
      <c r="K199" s="25"/>
      <c r="L199" s="96">
        <f t="shared" si="90"/>
        <v>37790.129999999997</v>
      </c>
      <c r="M199" s="2">
        <f t="shared" si="91"/>
        <v>44149.56</v>
      </c>
      <c r="N199" s="4">
        <f t="shared" si="88"/>
        <v>39806.869999999995</v>
      </c>
      <c r="O199" s="4">
        <f t="shared" ref="O199:O208" si="95">+O198+N199</f>
        <v>136586.49</v>
      </c>
      <c r="P199" s="48">
        <f t="shared" si="92"/>
        <v>0.38</v>
      </c>
      <c r="Q199" s="48">
        <f t="shared" si="93"/>
        <v>0.32</v>
      </c>
    </row>
    <row r="200" spans="1:17" x14ac:dyDescent="0.2">
      <c r="A200" t="s">
        <v>6</v>
      </c>
      <c r="B200" s="94">
        <v>106371.2</v>
      </c>
      <c r="C200" s="24">
        <f>ROUND(B200/$B210,4)</f>
        <v>4.9299999999999997E-2</v>
      </c>
      <c r="D200" s="22">
        <f t="shared" si="94"/>
        <v>537209.59999999998</v>
      </c>
      <c r="E200" s="25">
        <v>7218.52</v>
      </c>
      <c r="F200" s="25">
        <v>938.41</v>
      </c>
      <c r="G200" s="96">
        <f t="shared" si="89"/>
        <v>8156.93</v>
      </c>
      <c r="H200" s="108">
        <v>3.91</v>
      </c>
      <c r="I200" s="25">
        <v>30945.41</v>
      </c>
      <c r="J200" s="25">
        <v>4022.9</v>
      </c>
      <c r="K200" s="25"/>
      <c r="L200" s="96">
        <f t="shared" si="90"/>
        <v>34968.31</v>
      </c>
      <c r="M200" s="2">
        <f t="shared" si="91"/>
        <v>43125.24</v>
      </c>
      <c r="N200" s="4">
        <f t="shared" si="88"/>
        <v>38883.32</v>
      </c>
      <c r="O200" s="4">
        <f t="shared" si="95"/>
        <v>175469.81</v>
      </c>
      <c r="P200" s="48">
        <f t="shared" si="92"/>
        <v>0.37</v>
      </c>
      <c r="Q200" s="48">
        <f t="shared" si="93"/>
        <v>0.33</v>
      </c>
    </row>
    <row r="201" spans="1:17" x14ac:dyDescent="0.2">
      <c r="A201" t="s">
        <v>7</v>
      </c>
      <c r="B201" s="94">
        <v>105294.7</v>
      </c>
      <c r="C201" s="24">
        <f>ROUND(B201/$B210,4)</f>
        <v>4.8800000000000003E-2</v>
      </c>
      <c r="D201" s="22">
        <f t="shared" si="94"/>
        <v>642504.29999999993</v>
      </c>
      <c r="E201" s="25">
        <v>5617.95</v>
      </c>
      <c r="F201" s="25">
        <v>730.33</v>
      </c>
      <c r="G201" s="96">
        <f t="shared" si="89"/>
        <v>6348.28</v>
      </c>
      <c r="H201" s="108">
        <v>3.77</v>
      </c>
      <c r="I201" s="25">
        <v>31165.03</v>
      </c>
      <c r="J201" s="25">
        <v>4051.45</v>
      </c>
      <c r="K201" s="25"/>
      <c r="L201" s="96">
        <f t="shared" si="90"/>
        <v>35216.479999999996</v>
      </c>
      <c r="M201" s="2">
        <f t="shared" si="91"/>
        <v>41564.759999999995</v>
      </c>
      <c r="N201" s="4">
        <f t="shared" si="88"/>
        <v>37476.339999999997</v>
      </c>
      <c r="O201" s="4">
        <f t="shared" si="95"/>
        <v>212946.15</v>
      </c>
      <c r="P201" s="48">
        <f t="shared" si="92"/>
        <v>0.36</v>
      </c>
      <c r="Q201" s="48">
        <f t="shared" si="93"/>
        <v>0.33</v>
      </c>
    </row>
    <row r="202" spans="1:17" x14ac:dyDescent="0.2">
      <c r="A202" t="s">
        <v>8</v>
      </c>
      <c r="B202" s="94">
        <v>122858.3</v>
      </c>
      <c r="C202" s="24">
        <f>ROUND(B202/$B210,4)</f>
        <v>5.6899999999999999E-2</v>
      </c>
      <c r="D202" s="22">
        <f t="shared" si="94"/>
        <v>765362.6</v>
      </c>
      <c r="E202" s="25">
        <v>5669.11</v>
      </c>
      <c r="F202" s="25">
        <v>736.98</v>
      </c>
      <c r="G202" s="96">
        <f t="shared" si="89"/>
        <v>6406.09</v>
      </c>
      <c r="H202" s="108">
        <v>3.79</v>
      </c>
      <c r="I202" s="25">
        <v>32178.79</v>
      </c>
      <c r="J202" s="25">
        <v>4183.24</v>
      </c>
      <c r="K202" s="25"/>
      <c r="L202" s="96">
        <f t="shared" si="90"/>
        <v>36362.03</v>
      </c>
      <c r="M202" s="2">
        <f t="shared" si="91"/>
        <v>42768.119999999995</v>
      </c>
      <c r="N202" s="4">
        <f t="shared" si="88"/>
        <v>38561.33</v>
      </c>
      <c r="O202" s="4">
        <f t="shared" si="95"/>
        <v>251507.47999999998</v>
      </c>
      <c r="P202" s="48">
        <f t="shared" si="92"/>
        <v>0.31</v>
      </c>
      <c r="Q202" s="48">
        <f t="shared" si="93"/>
        <v>0.33</v>
      </c>
    </row>
    <row r="203" spans="1:17" x14ac:dyDescent="0.2">
      <c r="A203" t="s">
        <v>9</v>
      </c>
      <c r="B203" s="94">
        <v>156993</v>
      </c>
      <c r="C203" s="24">
        <f>ROUND(B203/$B210,4)</f>
        <v>7.2700000000000001E-2</v>
      </c>
      <c r="D203" s="22">
        <f t="shared" si="94"/>
        <v>922355.6</v>
      </c>
      <c r="E203" s="25">
        <v>5825.89</v>
      </c>
      <c r="F203" s="25">
        <v>757.37</v>
      </c>
      <c r="G203" s="96">
        <f t="shared" si="89"/>
        <v>6583.26</v>
      </c>
      <c r="H203" s="108">
        <v>3.49</v>
      </c>
      <c r="I203" s="25">
        <v>35591.03</v>
      </c>
      <c r="J203" s="25">
        <v>4626.83</v>
      </c>
      <c r="K203" s="25"/>
      <c r="L203" s="96">
        <f t="shared" si="90"/>
        <v>40217.86</v>
      </c>
      <c r="M203" s="2">
        <f t="shared" si="91"/>
        <v>46801.120000000003</v>
      </c>
      <c r="N203" s="4">
        <f t="shared" si="88"/>
        <v>42197.63</v>
      </c>
      <c r="O203" s="4">
        <f t="shared" si="95"/>
        <v>293705.11</v>
      </c>
      <c r="P203" s="48">
        <f t="shared" si="92"/>
        <v>0.27</v>
      </c>
      <c r="Q203" s="48">
        <f t="shared" si="93"/>
        <v>0.32</v>
      </c>
    </row>
    <row r="204" spans="1:17" x14ac:dyDescent="0.2">
      <c r="A204" t="s">
        <v>10</v>
      </c>
      <c r="B204" s="94">
        <v>211524.3</v>
      </c>
      <c r="C204" s="24">
        <f>ROUND(B204/$B210,4)</f>
        <v>9.8000000000000004E-2</v>
      </c>
      <c r="D204" s="22">
        <f t="shared" si="94"/>
        <v>1133879.8999999999</v>
      </c>
      <c r="E204" s="25">
        <v>6114.01</v>
      </c>
      <c r="F204" s="25">
        <v>794.82</v>
      </c>
      <c r="G204" s="96">
        <f t="shared" si="89"/>
        <v>6908.83</v>
      </c>
      <c r="H204" s="108">
        <v>3.49</v>
      </c>
      <c r="I204" s="25">
        <v>44230.89</v>
      </c>
      <c r="J204" s="25">
        <v>5750.02</v>
      </c>
      <c r="K204" s="25"/>
      <c r="L204" s="96">
        <f t="shared" si="90"/>
        <v>49980.91</v>
      </c>
      <c r="M204" s="2">
        <f t="shared" si="91"/>
        <v>56889.740000000005</v>
      </c>
      <c r="N204" s="4">
        <f t="shared" si="88"/>
        <v>51293.9</v>
      </c>
      <c r="O204" s="4">
        <f t="shared" si="95"/>
        <v>344999.01</v>
      </c>
      <c r="P204" s="48">
        <f t="shared" si="92"/>
        <v>0.24</v>
      </c>
      <c r="Q204" s="48">
        <f t="shared" si="93"/>
        <v>0.3</v>
      </c>
    </row>
    <row r="205" spans="1:17" x14ac:dyDescent="0.2">
      <c r="A205" t="s">
        <v>11</v>
      </c>
      <c r="B205" s="94">
        <v>234922.7</v>
      </c>
      <c r="C205" s="24">
        <f>ROUND(B205/$B210,4)</f>
        <v>0.1089</v>
      </c>
      <c r="D205" s="22">
        <f t="shared" si="94"/>
        <v>1368802.5999999999</v>
      </c>
      <c r="E205" s="25">
        <v>6700.6</v>
      </c>
      <c r="F205" s="25">
        <v>871.08</v>
      </c>
      <c r="G205" s="96">
        <f t="shared" si="89"/>
        <v>7571.68</v>
      </c>
      <c r="H205" s="108">
        <v>3.16</v>
      </c>
      <c r="I205" s="25">
        <v>43649.01</v>
      </c>
      <c r="J205" s="25">
        <v>5674.37</v>
      </c>
      <c r="K205" s="25"/>
      <c r="L205" s="96">
        <f t="shared" si="90"/>
        <v>49323.380000000005</v>
      </c>
      <c r="M205" s="2">
        <f t="shared" si="91"/>
        <v>56895.060000000005</v>
      </c>
      <c r="N205" s="4">
        <f t="shared" si="88"/>
        <v>51298.700000000004</v>
      </c>
      <c r="O205" s="4">
        <f t="shared" si="95"/>
        <v>396297.71</v>
      </c>
      <c r="P205" s="48">
        <f t="shared" si="92"/>
        <v>0.22</v>
      </c>
      <c r="Q205" s="48">
        <f t="shared" si="93"/>
        <v>0.28999999999999998</v>
      </c>
    </row>
    <row r="206" spans="1:17" x14ac:dyDescent="0.2">
      <c r="A206" t="s">
        <v>12</v>
      </c>
      <c r="B206" s="94">
        <v>282598.8</v>
      </c>
      <c r="C206" s="24">
        <f>ROUND(B206/$B210,4)</f>
        <v>0.13089999999999999</v>
      </c>
      <c r="D206" s="22">
        <f t="shared" si="94"/>
        <v>1651401.4</v>
      </c>
      <c r="E206" s="25">
        <v>6773.1</v>
      </c>
      <c r="F206" s="25">
        <v>880.5</v>
      </c>
      <c r="G206" s="96">
        <f t="shared" si="89"/>
        <v>7653.6</v>
      </c>
      <c r="H206" s="108">
        <v>2.77</v>
      </c>
      <c r="I206" s="25">
        <v>47009.65</v>
      </c>
      <c r="J206" s="25">
        <v>6111.25</v>
      </c>
      <c r="K206" s="25"/>
      <c r="L206" s="96">
        <f t="shared" si="90"/>
        <v>53120.9</v>
      </c>
      <c r="M206" s="2">
        <f t="shared" si="91"/>
        <v>60774.5</v>
      </c>
      <c r="N206" s="4">
        <f t="shared" si="88"/>
        <v>54796.549999999996</v>
      </c>
      <c r="O206" s="4">
        <f t="shared" si="95"/>
        <v>451094.26</v>
      </c>
      <c r="P206" s="48">
        <f t="shared" si="92"/>
        <v>0.19</v>
      </c>
      <c r="Q206" s="48">
        <f t="shared" si="93"/>
        <v>0.27</v>
      </c>
    </row>
    <row r="207" spans="1:17" x14ac:dyDescent="0.2">
      <c r="A207" t="s">
        <v>13</v>
      </c>
      <c r="B207" s="94">
        <v>272939</v>
      </c>
      <c r="C207" s="24">
        <f>ROUND(B207/$B210,4)</f>
        <v>0.1265</v>
      </c>
      <c r="D207" s="22">
        <f t="shared" si="94"/>
        <v>1924340.4</v>
      </c>
      <c r="E207" s="25">
        <v>6566</v>
      </c>
      <c r="F207" s="25">
        <v>853.58</v>
      </c>
      <c r="G207" s="96">
        <f t="shared" si="89"/>
        <v>7419.58</v>
      </c>
      <c r="H207" s="108">
        <v>2.74</v>
      </c>
      <c r="I207" s="25">
        <v>47731.74</v>
      </c>
      <c r="J207" s="25">
        <v>6205.13</v>
      </c>
      <c r="K207" s="25"/>
      <c r="L207" s="96">
        <f t="shared" si="90"/>
        <v>53936.869999999995</v>
      </c>
      <c r="M207" s="2">
        <f t="shared" si="91"/>
        <v>61356.45</v>
      </c>
      <c r="N207" s="4">
        <f t="shared" si="88"/>
        <v>55321.249999999993</v>
      </c>
      <c r="O207" s="4">
        <f t="shared" si="95"/>
        <v>506415.51</v>
      </c>
      <c r="P207" s="48">
        <f t="shared" si="92"/>
        <v>0.2</v>
      </c>
      <c r="Q207" s="48">
        <f t="shared" si="93"/>
        <v>0.26</v>
      </c>
    </row>
    <row r="208" spans="1:17" x14ac:dyDescent="0.2">
      <c r="A208" t="s">
        <v>14</v>
      </c>
      <c r="B208" s="94">
        <v>233733</v>
      </c>
      <c r="C208" s="24">
        <f>ROUND(B208/$B210,4)</f>
        <v>0.10829999999999999</v>
      </c>
      <c r="D208" s="22">
        <f t="shared" si="94"/>
        <v>2158073.4</v>
      </c>
      <c r="E208" s="25">
        <v>6216.9</v>
      </c>
      <c r="F208" s="25">
        <v>808.2</v>
      </c>
      <c r="G208" s="96">
        <f t="shared" si="89"/>
        <v>7025.0999999999995</v>
      </c>
      <c r="H208" s="108">
        <v>2.73</v>
      </c>
      <c r="I208" s="25">
        <v>41695.760000000002</v>
      </c>
      <c r="J208" s="25">
        <v>5420.45</v>
      </c>
      <c r="K208" s="25"/>
      <c r="L208" s="96">
        <f t="shared" si="90"/>
        <v>47116.21</v>
      </c>
      <c r="M208" s="2">
        <f t="shared" si="91"/>
        <v>54141.31</v>
      </c>
      <c r="N208" s="4">
        <f t="shared" si="88"/>
        <v>48815.82</v>
      </c>
      <c r="O208" s="4">
        <f t="shared" si="95"/>
        <v>555231.32999999996</v>
      </c>
      <c r="P208" s="48">
        <f t="shared" si="92"/>
        <v>0.21</v>
      </c>
      <c r="Q208" s="48">
        <f t="shared" si="93"/>
        <v>0.26</v>
      </c>
    </row>
    <row r="209" spans="1:17" x14ac:dyDescent="0.2">
      <c r="B209" s="94"/>
      <c r="C209" s="22"/>
      <c r="D209" s="22"/>
      <c r="E209" s="25"/>
      <c r="F209" s="25"/>
      <c r="G209" s="96"/>
      <c r="H209" s="109"/>
      <c r="I209" s="25"/>
      <c r="J209" s="25"/>
      <c r="K209" s="25"/>
      <c r="L209" s="96"/>
      <c r="M209" s="2"/>
      <c r="P209" s="47"/>
      <c r="Q209" s="47"/>
    </row>
    <row r="210" spans="1:17" ht="13.5" thickBot="1" x14ac:dyDescent="0.25">
      <c r="A210" t="s">
        <v>24</v>
      </c>
      <c r="B210" s="97">
        <f>SUM(B197:B208)</f>
        <v>2158073.4</v>
      </c>
      <c r="C210" s="98">
        <f>SUM(C197:C208)</f>
        <v>0.9998999999999999</v>
      </c>
      <c r="D210" s="99"/>
      <c r="E210" s="100">
        <f>SUM(E197:E208)</f>
        <v>74320.56</v>
      </c>
      <c r="F210" s="100">
        <f>SUM(F197:F208)</f>
        <v>9661.68</v>
      </c>
      <c r="G210" s="101">
        <f>SUM(G197:G208)</f>
        <v>83982.24000000002</v>
      </c>
      <c r="H210" s="110"/>
      <c r="I210" s="100">
        <f t="shared" ref="I210:N210" si="96">SUM(I197:I208)</f>
        <v>470638.30000000005</v>
      </c>
      <c r="J210" s="100">
        <f t="shared" si="96"/>
        <v>61182.97</v>
      </c>
      <c r="K210" s="100">
        <f t="shared" si="96"/>
        <v>0</v>
      </c>
      <c r="L210" s="101">
        <f t="shared" si="96"/>
        <v>531821.27</v>
      </c>
      <c r="M210" s="2">
        <f t="shared" si="96"/>
        <v>615803.51</v>
      </c>
      <c r="N210" s="2">
        <f t="shared" si="96"/>
        <v>555231.32999999996</v>
      </c>
      <c r="O210" s="2"/>
      <c r="P210" s="47">
        <f>ROUND(N210/B210,2)</f>
        <v>0.26</v>
      </c>
      <c r="Q210" s="47"/>
    </row>
    <row r="213" spans="1:17" ht="13.5" thickBot="1" x14ac:dyDescent="0.25">
      <c r="D213" s="87" t="s">
        <v>149</v>
      </c>
    </row>
    <row r="214" spans="1:17" x14ac:dyDescent="0.2">
      <c r="B214" s="88" t="s">
        <v>58</v>
      </c>
      <c r="C214" s="89"/>
      <c r="D214" s="89"/>
      <c r="E214" s="89"/>
      <c r="F214" s="89"/>
      <c r="G214" s="90"/>
      <c r="H214" s="102" t="s">
        <v>59</v>
      </c>
      <c r="I214" s="103"/>
      <c r="J214" s="103"/>
      <c r="K214" s="103"/>
      <c r="L214" s="104"/>
      <c r="P214" s="49"/>
      <c r="Q214" s="49"/>
    </row>
    <row r="215" spans="1:17" x14ac:dyDescent="0.2">
      <c r="B215" s="123" t="s">
        <v>123</v>
      </c>
      <c r="C215" s="19"/>
      <c r="D215" s="19" t="s">
        <v>30</v>
      </c>
      <c r="E215" s="19"/>
      <c r="F215" s="19"/>
      <c r="G215" s="92" t="s">
        <v>21</v>
      </c>
      <c r="H215" s="105"/>
      <c r="I215" s="35"/>
      <c r="J215" s="35"/>
      <c r="K215" s="35"/>
      <c r="L215" s="106" t="s">
        <v>21</v>
      </c>
      <c r="M215" s="3" t="s">
        <v>21</v>
      </c>
      <c r="N215" s="3" t="s">
        <v>23</v>
      </c>
      <c r="O215" s="3" t="s">
        <v>30</v>
      </c>
      <c r="P215" s="46" t="s">
        <v>25</v>
      </c>
      <c r="Q215" s="46" t="s">
        <v>32</v>
      </c>
    </row>
    <row r="216" spans="1:17" x14ac:dyDescent="0.2">
      <c r="A216" s="116" t="s">
        <v>155</v>
      </c>
      <c r="B216" s="93" t="s">
        <v>15</v>
      </c>
      <c r="C216" s="19" t="s">
        <v>44</v>
      </c>
      <c r="D216" s="19" t="s">
        <v>15</v>
      </c>
      <c r="E216" s="19" t="s">
        <v>16</v>
      </c>
      <c r="F216" s="19" t="s">
        <v>62</v>
      </c>
      <c r="G216" s="92" t="s">
        <v>16</v>
      </c>
      <c r="H216" s="107" t="s">
        <v>28</v>
      </c>
      <c r="I216" s="19" t="s">
        <v>18</v>
      </c>
      <c r="J216" s="19" t="s">
        <v>63</v>
      </c>
      <c r="K216" s="19" t="s">
        <v>20</v>
      </c>
      <c r="L216" s="92" t="s">
        <v>18</v>
      </c>
      <c r="M216" s="3" t="s">
        <v>22</v>
      </c>
      <c r="N216" s="3" t="s">
        <v>22</v>
      </c>
      <c r="O216" s="3" t="s">
        <v>34</v>
      </c>
      <c r="P216" s="46" t="s">
        <v>15</v>
      </c>
      <c r="Q216" s="46" t="s">
        <v>33</v>
      </c>
    </row>
    <row r="217" spans="1:17" x14ac:dyDescent="0.2">
      <c r="B217" s="94"/>
      <c r="C217" s="22"/>
      <c r="D217" s="22" t="s">
        <v>31</v>
      </c>
      <c r="E217" s="22"/>
      <c r="F217" s="22"/>
      <c r="G217" s="95"/>
      <c r="H217" s="107"/>
      <c r="I217" s="22"/>
      <c r="J217" s="22"/>
      <c r="K217" s="22"/>
      <c r="L217" s="95"/>
    </row>
    <row r="218" spans="1:17" x14ac:dyDescent="0.2">
      <c r="A218" t="s">
        <v>3</v>
      </c>
      <c r="B218" s="94">
        <v>172148.6</v>
      </c>
      <c r="C218" s="24">
        <f>ROUND(B218/$B231,4)</f>
        <v>0.55940000000000001</v>
      </c>
      <c r="D218" s="22">
        <f>+B218</f>
        <v>172148.6</v>
      </c>
      <c r="E218" s="25">
        <v>5900.83</v>
      </c>
      <c r="F218" s="25">
        <v>767.11</v>
      </c>
      <c r="G218" s="96">
        <f>+E218+F218</f>
        <v>6667.94</v>
      </c>
      <c r="H218" s="108">
        <v>2.56</v>
      </c>
      <c r="I218" s="25">
        <v>33731.9</v>
      </c>
      <c r="J218" s="25">
        <v>4385.1499999999996</v>
      </c>
      <c r="K218" s="25">
        <v>0</v>
      </c>
      <c r="L218" s="96">
        <f>+I218+J218+K218</f>
        <v>38117.050000000003</v>
      </c>
      <c r="M218" s="2">
        <f>+G218+L218</f>
        <v>44784.990000000005</v>
      </c>
      <c r="N218" s="4">
        <f t="shared" ref="N218:N229" si="97">+E218+ROUND(F218*0.145,2)+I218+ROUND(J218*0.145,2)</f>
        <v>40379.81</v>
      </c>
      <c r="O218" s="4">
        <f>+N218</f>
        <v>40379.81</v>
      </c>
      <c r="P218" s="48">
        <f>IF(B218="","",ROUND(N218/B218,2))</f>
        <v>0.23</v>
      </c>
      <c r="Q218" s="48">
        <f>ROUND(O218/D218,2)</f>
        <v>0.23</v>
      </c>
    </row>
    <row r="219" spans="1:17" x14ac:dyDescent="0.2">
      <c r="A219" t="s">
        <v>4</v>
      </c>
      <c r="B219" s="94">
        <v>135605.20000000001</v>
      </c>
      <c r="C219" s="24">
        <f>ROUND(B219/$B231,4)</f>
        <v>0.44059999999999999</v>
      </c>
      <c r="D219" s="22">
        <f>+D218+B219</f>
        <v>307753.80000000005</v>
      </c>
      <c r="E219" s="25">
        <v>5702.94</v>
      </c>
      <c r="F219" s="25">
        <v>741.38</v>
      </c>
      <c r="G219" s="96">
        <f t="shared" ref="G219:G229" si="98">+E219+F219</f>
        <v>6444.32</v>
      </c>
      <c r="H219" s="108">
        <v>2.81</v>
      </c>
      <c r="I219" s="25">
        <v>35152.050000000003</v>
      </c>
      <c r="J219" s="25">
        <v>4569.7700000000004</v>
      </c>
      <c r="K219" s="25"/>
      <c r="L219" s="96">
        <f t="shared" ref="L219:L229" si="99">+I219+J219+K219</f>
        <v>39721.820000000007</v>
      </c>
      <c r="M219" s="2">
        <f t="shared" ref="M219:M229" si="100">+G219+L219</f>
        <v>46166.140000000007</v>
      </c>
      <c r="N219" s="4">
        <f t="shared" si="97"/>
        <v>41625.110000000008</v>
      </c>
      <c r="O219" s="4">
        <f>+O218+N219</f>
        <v>82004.920000000013</v>
      </c>
      <c r="P219" s="48">
        <f t="shared" ref="P219:P229" si="101">IF(B219="","",ROUND(N219/B219,2))</f>
        <v>0.31</v>
      </c>
      <c r="Q219" s="48">
        <f t="shared" ref="Q219:Q229" si="102">ROUND(O219/D219,2)</f>
        <v>0.27</v>
      </c>
    </row>
    <row r="220" spans="1:17" x14ac:dyDescent="0.2">
      <c r="A220" t="s">
        <v>5</v>
      </c>
      <c r="B220" s="94"/>
      <c r="C220" s="24">
        <f>ROUND(B220/$B231,4)</f>
        <v>0</v>
      </c>
      <c r="D220" s="22">
        <f t="shared" ref="D220:D229" si="103">+D219+B220</f>
        <v>307753.80000000005</v>
      </c>
      <c r="E220" s="25"/>
      <c r="F220" s="25"/>
      <c r="G220" s="96">
        <f t="shared" si="98"/>
        <v>0</v>
      </c>
      <c r="H220" s="108"/>
      <c r="I220" s="25"/>
      <c r="J220" s="25"/>
      <c r="K220" s="25"/>
      <c r="L220" s="96">
        <f t="shared" si="99"/>
        <v>0</v>
      </c>
      <c r="M220" s="2">
        <f t="shared" si="100"/>
        <v>0</v>
      </c>
      <c r="N220" s="4">
        <f t="shared" si="97"/>
        <v>0</v>
      </c>
      <c r="O220" s="4">
        <f t="shared" ref="O220:O229" si="104">+O219+N220</f>
        <v>82004.920000000013</v>
      </c>
      <c r="P220" s="48" t="str">
        <f t="shared" si="101"/>
        <v/>
      </c>
      <c r="Q220" s="48">
        <f t="shared" si="102"/>
        <v>0.27</v>
      </c>
    </row>
    <row r="221" spans="1:17" x14ac:dyDescent="0.2">
      <c r="A221" t="s">
        <v>6</v>
      </c>
      <c r="B221" s="94"/>
      <c r="C221" s="24">
        <f>ROUND(B221/$B231,4)</f>
        <v>0</v>
      </c>
      <c r="D221" s="22">
        <f t="shared" si="103"/>
        <v>307753.80000000005</v>
      </c>
      <c r="E221" s="25"/>
      <c r="F221" s="25"/>
      <c r="G221" s="96">
        <f t="shared" si="98"/>
        <v>0</v>
      </c>
      <c r="H221" s="108"/>
      <c r="I221" s="25"/>
      <c r="J221" s="25"/>
      <c r="K221" s="25"/>
      <c r="L221" s="96">
        <f t="shared" si="99"/>
        <v>0</v>
      </c>
      <c r="M221" s="2">
        <f t="shared" si="100"/>
        <v>0</v>
      </c>
      <c r="N221" s="4">
        <f t="shared" si="97"/>
        <v>0</v>
      </c>
      <c r="O221" s="4">
        <f t="shared" si="104"/>
        <v>82004.920000000013</v>
      </c>
      <c r="P221" s="48" t="str">
        <f t="shared" si="101"/>
        <v/>
      </c>
      <c r="Q221" s="48">
        <f t="shared" si="102"/>
        <v>0.27</v>
      </c>
    </row>
    <row r="222" spans="1:17" x14ac:dyDescent="0.2">
      <c r="A222" t="s">
        <v>7</v>
      </c>
      <c r="B222" s="94"/>
      <c r="C222" s="24">
        <f>ROUND(B222/$B231,4)</f>
        <v>0</v>
      </c>
      <c r="D222" s="22">
        <f t="shared" si="103"/>
        <v>307753.80000000005</v>
      </c>
      <c r="E222" s="25"/>
      <c r="F222" s="25"/>
      <c r="G222" s="96">
        <f t="shared" si="98"/>
        <v>0</v>
      </c>
      <c r="H222" s="108"/>
      <c r="I222" s="25"/>
      <c r="J222" s="25"/>
      <c r="K222" s="25"/>
      <c r="L222" s="96">
        <f t="shared" si="99"/>
        <v>0</v>
      </c>
      <c r="M222" s="2">
        <f t="shared" si="100"/>
        <v>0</v>
      </c>
      <c r="N222" s="4">
        <f t="shared" si="97"/>
        <v>0</v>
      </c>
      <c r="O222" s="4">
        <f t="shared" si="104"/>
        <v>82004.920000000013</v>
      </c>
      <c r="P222" s="48" t="str">
        <f t="shared" si="101"/>
        <v/>
      </c>
      <c r="Q222" s="48">
        <f t="shared" si="102"/>
        <v>0.27</v>
      </c>
    </row>
    <row r="223" spans="1:17" x14ac:dyDescent="0.2">
      <c r="A223" t="s">
        <v>8</v>
      </c>
      <c r="B223" s="94"/>
      <c r="C223" s="24">
        <f>ROUND(B223/$B231,4)</f>
        <v>0</v>
      </c>
      <c r="D223" s="22">
        <f t="shared" si="103"/>
        <v>307753.80000000005</v>
      </c>
      <c r="E223" s="25"/>
      <c r="F223" s="25"/>
      <c r="G223" s="96">
        <f t="shared" si="98"/>
        <v>0</v>
      </c>
      <c r="H223" s="108"/>
      <c r="I223" s="25"/>
      <c r="J223" s="25"/>
      <c r="K223" s="25"/>
      <c r="L223" s="96">
        <f t="shared" si="99"/>
        <v>0</v>
      </c>
      <c r="M223" s="2">
        <f t="shared" si="100"/>
        <v>0</v>
      </c>
      <c r="N223" s="4">
        <f t="shared" si="97"/>
        <v>0</v>
      </c>
      <c r="O223" s="4">
        <f t="shared" si="104"/>
        <v>82004.920000000013</v>
      </c>
      <c r="P223" s="48" t="str">
        <f t="shared" si="101"/>
        <v/>
      </c>
      <c r="Q223" s="48">
        <f t="shared" si="102"/>
        <v>0.27</v>
      </c>
    </row>
    <row r="224" spans="1:17" x14ac:dyDescent="0.2">
      <c r="A224" t="s">
        <v>9</v>
      </c>
      <c r="B224" s="94"/>
      <c r="C224" s="24">
        <f>ROUND(B224/$B231,4)</f>
        <v>0</v>
      </c>
      <c r="D224" s="22">
        <f t="shared" si="103"/>
        <v>307753.80000000005</v>
      </c>
      <c r="E224" s="25"/>
      <c r="F224" s="25"/>
      <c r="G224" s="96">
        <f t="shared" si="98"/>
        <v>0</v>
      </c>
      <c r="H224" s="108"/>
      <c r="I224" s="25"/>
      <c r="J224" s="25"/>
      <c r="K224" s="25"/>
      <c r="L224" s="96">
        <f t="shared" si="99"/>
        <v>0</v>
      </c>
      <c r="M224" s="2">
        <f t="shared" si="100"/>
        <v>0</v>
      </c>
      <c r="N224" s="4">
        <f t="shared" si="97"/>
        <v>0</v>
      </c>
      <c r="O224" s="4">
        <f t="shared" si="104"/>
        <v>82004.920000000013</v>
      </c>
      <c r="P224" s="48" t="str">
        <f t="shared" si="101"/>
        <v/>
      </c>
      <c r="Q224" s="48">
        <f t="shared" si="102"/>
        <v>0.27</v>
      </c>
    </row>
    <row r="225" spans="1:17" x14ac:dyDescent="0.2">
      <c r="A225" t="s">
        <v>10</v>
      </c>
      <c r="B225" s="94"/>
      <c r="C225" s="24">
        <f>ROUND(B225/$B231,4)</f>
        <v>0</v>
      </c>
      <c r="D225" s="22">
        <f t="shared" si="103"/>
        <v>307753.80000000005</v>
      </c>
      <c r="E225" s="25"/>
      <c r="F225" s="25"/>
      <c r="G225" s="96">
        <f t="shared" si="98"/>
        <v>0</v>
      </c>
      <c r="H225" s="108"/>
      <c r="I225" s="25"/>
      <c r="J225" s="25"/>
      <c r="K225" s="25"/>
      <c r="L225" s="96">
        <f t="shared" si="99"/>
        <v>0</v>
      </c>
      <c r="M225" s="2">
        <f t="shared" si="100"/>
        <v>0</v>
      </c>
      <c r="N225" s="4">
        <f t="shared" si="97"/>
        <v>0</v>
      </c>
      <c r="O225" s="4">
        <f t="shared" si="104"/>
        <v>82004.920000000013</v>
      </c>
      <c r="P225" s="48" t="str">
        <f t="shared" si="101"/>
        <v/>
      </c>
      <c r="Q225" s="48">
        <f t="shared" si="102"/>
        <v>0.27</v>
      </c>
    </row>
    <row r="226" spans="1:17" x14ac:dyDescent="0.2">
      <c r="A226" t="s">
        <v>11</v>
      </c>
      <c r="B226" s="94"/>
      <c r="C226" s="24">
        <f>ROUND(B226/$B231,4)</f>
        <v>0</v>
      </c>
      <c r="D226" s="22">
        <f t="shared" si="103"/>
        <v>307753.80000000005</v>
      </c>
      <c r="E226" s="25"/>
      <c r="F226" s="25"/>
      <c r="G226" s="96">
        <f t="shared" si="98"/>
        <v>0</v>
      </c>
      <c r="H226" s="108"/>
      <c r="I226" s="25"/>
      <c r="J226" s="25"/>
      <c r="K226" s="25"/>
      <c r="L226" s="96">
        <f t="shared" si="99"/>
        <v>0</v>
      </c>
      <c r="M226" s="2">
        <f t="shared" si="100"/>
        <v>0</v>
      </c>
      <c r="N226" s="4">
        <f t="shared" si="97"/>
        <v>0</v>
      </c>
      <c r="O226" s="4">
        <f t="shared" si="104"/>
        <v>82004.920000000013</v>
      </c>
      <c r="P226" s="48" t="str">
        <f t="shared" si="101"/>
        <v/>
      </c>
      <c r="Q226" s="48">
        <f t="shared" si="102"/>
        <v>0.27</v>
      </c>
    </row>
    <row r="227" spans="1:17" x14ac:dyDescent="0.2">
      <c r="A227" t="s">
        <v>12</v>
      </c>
      <c r="B227" s="94"/>
      <c r="C227" s="24">
        <f>ROUND(B227/$B231,4)</f>
        <v>0</v>
      </c>
      <c r="D227" s="22">
        <f t="shared" si="103"/>
        <v>307753.80000000005</v>
      </c>
      <c r="E227" s="25"/>
      <c r="F227" s="25"/>
      <c r="G227" s="96">
        <f t="shared" si="98"/>
        <v>0</v>
      </c>
      <c r="H227" s="108"/>
      <c r="I227" s="25"/>
      <c r="J227" s="25"/>
      <c r="K227" s="25"/>
      <c r="L227" s="96">
        <f t="shared" si="99"/>
        <v>0</v>
      </c>
      <c r="M227" s="2">
        <f t="shared" si="100"/>
        <v>0</v>
      </c>
      <c r="N227" s="4">
        <f t="shared" si="97"/>
        <v>0</v>
      </c>
      <c r="O227" s="4">
        <f t="shared" si="104"/>
        <v>82004.920000000013</v>
      </c>
      <c r="P227" s="48" t="str">
        <f t="shared" si="101"/>
        <v/>
      </c>
      <c r="Q227" s="48">
        <f t="shared" si="102"/>
        <v>0.27</v>
      </c>
    </row>
    <row r="228" spans="1:17" x14ac:dyDescent="0.2">
      <c r="A228" t="s">
        <v>13</v>
      </c>
      <c r="B228" s="94"/>
      <c r="C228" s="24">
        <f>ROUND(B228/$B231,4)</f>
        <v>0</v>
      </c>
      <c r="D228" s="22">
        <f t="shared" si="103"/>
        <v>307753.80000000005</v>
      </c>
      <c r="E228" s="25"/>
      <c r="F228" s="25"/>
      <c r="G228" s="96">
        <f t="shared" si="98"/>
        <v>0</v>
      </c>
      <c r="H228" s="108"/>
      <c r="I228" s="25"/>
      <c r="J228" s="25"/>
      <c r="K228" s="25"/>
      <c r="L228" s="96">
        <f t="shared" si="99"/>
        <v>0</v>
      </c>
      <c r="M228" s="2">
        <f t="shared" si="100"/>
        <v>0</v>
      </c>
      <c r="N228" s="4">
        <f t="shared" si="97"/>
        <v>0</v>
      </c>
      <c r="O228" s="4">
        <f t="shared" si="104"/>
        <v>82004.920000000013</v>
      </c>
      <c r="P228" s="48" t="str">
        <f t="shared" si="101"/>
        <v/>
      </c>
      <c r="Q228" s="48">
        <f t="shared" si="102"/>
        <v>0.27</v>
      </c>
    </row>
    <row r="229" spans="1:17" x14ac:dyDescent="0.2">
      <c r="A229" t="s">
        <v>14</v>
      </c>
      <c r="B229" s="94"/>
      <c r="C229" s="24">
        <f>ROUND(B229/$B231,4)</f>
        <v>0</v>
      </c>
      <c r="D229" s="22">
        <f t="shared" si="103"/>
        <v>307753.80000000005</v>
      </c>
      <c r="E229" s="25"/>
      <c r="F229" s="25"/>
      <c r="G229" s="96">
        <f t="shared" si="98"/>
        <v>0</v>
      </c>
      <c r="H229" s="108"/>
      <c r="I229" s="25"/>
      <c r="J229" s="25"/>
      <c r="K229" s="25"/>
      <c r="L229" s="96">
        <f t="shared" si="99"/>
        <v>0</v>
      </c>
      <c r="M229" s="2">
        <f t="shared" si="100"/>
        <v>0</v>
      </c>
      <c r="N229" s="4">
        <f t="shared" si="97"/>
        <v>0</v>
      </c>
      <c r="O229" s="4">
        <f t="shared" si="104"/>
        <v>82004.920000000013</v>
      </c>
      <c r="P229" s="48" t="str">
        <f t="shared" si="101"/>
        <v/>
      </c>
      <c r="Q229" s="48">
        <f t="shared" si="102"/>
        <v>0.27</v>
      </c>
    </row>
    <row r="230" spans="1:17" x14ac:dyDescent="0.2">
      <c r="B230" s="94"/>
      <c r="C230" s="22"/>
      <c r="D230" s="22"/>
      <c r="E230" s="25"/>
      <c r="F230" s="25"/>
      <c r="G230" s="96"/>
      <c r="H230" s="109"/>
      <c r="I230" s="25"/>
      <c r="J230" s="25"/>
      <c r="K230" s="25"/>
      <c r="L230" s="96"/>
      <c r="M230" s="2"/>
      <c r="P230" s="47"/>
      <c r="Q230" s="47"/>
    </row>
    <row r="231" spans="1:17" ht="13.5" thickBot="1" x14ac:dyDescent="0.25">
      <c r="A231" t="s">
        <v>24</v>
      </c>
      <c r="B231" s="97">
        <f>SUM(B218:B229)</f>
        <v>307753.80000000005</v>
      </c>
      <c r="C231" s="98">
        <f>SUM(C218:C229)</f>
        <v>1</v>
      </c>
      <c r="D231" s="99"/>
      <c r="E231" s="100">
        <f>SUM(E218:E229)</f>
        <v>11603.77</v>
      </c>
      <c r="F231" s="100">
        <f>SUM(F218:F229)</f>
        <v>1508.49</v>
      </c>
      <c r="G231" s="101">
        <f>SUM(G218:G229)</f>
        <v>13112.259999999998</v>
      </c>
      <c r="H231" s="110"/>
      <c r="I231" s="100">
        <f t="shared" ref="I231:N231" si="105">SUM(I218:I229)</f>
        <v>68883.950000000012</v>
      </c>
      <c r="J231" s="100">
        <f t="shared" si="105"/>
        <v>8954.92</v>
      </c>
      <c r="K231" s="100">
        <f t="shared" si="105"/>
        <v>0</v>
      </c>
      <c r="L231" s="101">
        <f t="shared" si="105"/>
        <v>77838.87000000001</v>
      </c>
      <c r="M231" s="2">
        <f t="shared" si="105"/>
        <v>90951.13</v>
      </c>
      <c r="N231" s="2">
        <f t="shared" si="105"/>
        <v>82004.920000000013</v>
      </c>
      <c r="O231" s="2"/>
      <c r="P231" s="47">
        <f>ROUND(N231/B231,2)</f>
        <v>0.27</v>
      </c>
      <c r="Q231" s="47"/>
    </row>
  </sheetData>
  <phoneticPr fontId="3" type="noConversion"/>
  <printOptions horizontalCentered="1"/>
  <pageMargins left="0" right="0" top="0.59055118110236227" bottom="0" header="0" footer="0"/>
  <pageSetup scale="76" fitToHeight="2" orientation="landscape" r:id="rId1"/>
  <headerFooter alignWithMargins="0">
    <oddHeader>&amp;L&amp;D&amp;R&amp;Z&amp;F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R231"/>
  <sheetViews>
    <sheetView topLeftCell="A207" zoomScale="80" workbookViewId="0">
      <selection activeCell="J219" sqref="J219"/>
    </sheetView>
  </sheetViews>
  <sheetFormatPr defaultRowHeight="12.75" x14ac:dyDescent="0.2"/>
  <cols>
    <col min="1" max="1" width="13" style="63" customWidth="1"/>
    <col min="2" max="2" width="11.42578125" style="50" bestFit="1" customWidth="1"/>
    <col min="4" max="4" width="11.42578125" style="50" bestFit="1" customWidth="1"/>
    <col min="5" max="6" width="14.85546875" style="37" bestFit="1" customWidth="1"/>
    <col min="7" max="7" width="13.5703125" style="37" bestFit="1" customWidth="1"/>
    <col min="8" max="8" width="13.140625" style="37" bestFit="1" customWidth="1"/>
    <col min="9" max="9" width="15" style="37" bestFit="1" customWidth="1"/>
    <col min="10" max="10" width="13.7109375" style="37" bestFit="1" customWidth="1"/>
    <col min="11" max="11" width="15" style="37" bestFit="1" customWidth="1"/>
    <col min="12" max="13" width="12.42578125" style="37" bestFit="1" customWidth="1"/>
    <col min="14" max="14" width="12" style="37" customWidth="1"/>
    <col min="15" max="16" width="10" style="53" bestFit="1" customWidth="1"/>
    <col min="17" max="18" width="11.140625" style="37" customWidth="1"/>
  </cols>
  <sheetData>
    <row r="1" spans="1:15" x14ac:dyDescent="0.2">
      <c r="A1" s="63" t="s">
        <v>0</v>
      </c>
    </row>
    <row r="3" spans="1:15" x14ac:dyDescent="0.2">
      <c r="A3" s="63" t="s">
        <v>1</v>
      </c>
    </row>
    <row r="6" spans="1:15" x14ac:dyDescent="0.2">
      <c r="C6" s="3"/>
      <c r="D6" s="50" t="s">
        <v>30</v>
      </c>
      <c r="K6" s="37" t="s">
        <v>21</v>
      </c>
      <c r="L6" s="37" t="s">
        <v>23</v>
      </c>
      <c r="M6" s="37" t="s">
        <v>30</v>
      </c>
      <c r="N6" s="37" t="s">
        <v>25</v>
      </c>
      <c r="O6" s="54" t="s">
        <v>32</v>
      </c>
    </row>
    <row r="7" spans="1:15" x14ac:dyDescent="0.2">
      <c r="A7" s="124" t="s">
        <v>2</v>
      </c>
      <c r="B7" s="50" t="s">
        <v>38</v>
      </c>
      <c r="C7" s="3" t="s">
        <v>44</v>
      </c>
      <c r="D7" s="50" t="s">
        <v>38</v>
      </c>
      <c r="I7" s="37" t="s">
        <v>39</v>
      </c>
      <c r="J7" s="37" t="s">
        <v>40</v>
      </c>
      <c r="K7" s="37" t="s">
        <v>39</v>
      </c>
      <c r="L7" s="37" t="s">
        <v>34</v>
      </c>
      <c r="M7" s="37" t="s">
        <v>34</v>
      </c>
      <c r="N7" s="37" t="s">
        <v>38</v>
      </c>
      <c r="O7" s="54" t="s">
        <v>41</v>
      </c>
    </row>
    <row r="8" spans="1:15" x14ac:dyDescent="0.2">
      <c r="D8" s="50" t="s">
        <v>31</v>
      </c>
    </row>
    <row r="9" spans="1:15" x14ac:dyDescent="0.2">
      <c r="A9" s="63" t="s">
        <v>3</v>
      </c>
      <c r="B9" s="50">
        <v>792933</v>
      </c>
      <c r="C9" s="15">
        <f>ROUND(B9/$B$22,4)</f>
        <v>7.7399999999999997E-2</v>
      </c>
      <c r="D9" s="50">
        <f>+B9</f>
        <v>792933</v>
      </c>
      <c r="I9" s="37">
        <f>76825.07-5025.94</f>
        <v>71799.13</v>
      </c>
      <c r="J9" s="37">
        <v>5025.9399999999996</v>
      </c>
      <c r="K9" s="37">
        <f t="shared" ref="K9:K20" si="0">+I9+J9</f>
        <v>76825.070000000007</v>
      </c>
      <c r="L9" s="37">
        <f>ROUND(I9+(J9*0.17),2)</f>
        <v>72653.539999999994</v>
      </c>
      <c r="M9" s="37">
        <f>+L9</f>
        <v>72653.539999999994</v>
      </c>
      <c r="N9" s="37">
        <f>ROUND(L9/B9,2)</f>
        <v>0.09</v>
      </c>
      <c r="O9" s="55">
        <f>ROUND(M9/D9,2)</f>
        <v>0.09</v>
      </c>
    </row>
    <row r="10" spans="1:15" x14ac:dyDescent="0.2">
      <c r="A10" s="63" t="s">
        <v>4</v>
      </c>
      <c r="B10" s="50">
        <v>747410</v>
      </c>
      <c r="C10" s="15">
        <f t="shared" ref="C10:C20" si="1">ROUND(B10/$B$22,4)</f>
        <v>7.2900000000000006E-2</v>
      </c>
      <c r="D10" s="50">
        <f t="shared" ref="D10:D20" si="2">+D9+B10</f>
        <v>1540343</v>
      </c>
      <c r="I10" s="37">
        <f>74434.43-4869.54</f>
        <v>69564.89</v>
      </c>
      <c r="J10" s="37">
        <v>4869.54</v>
      </c>
      <c r="K10" s="37">
        <f t="shared" si="0"/>
        <v>74434.429999999993</v>
      </c>
      <c r="L10" s="37">
        <f t="shared" ref="L10:L20" si="3">ROUND(I10+(J10*0.17),2)</f>
        <v>70392.710000000006</v>
      </c>
      <c r="M10" s="37">
        <f>+M9+L10</f>
        <v>143046.25</v>
      </c>
      <c r="N10" s="37">
        <f t="shared" ref="N10:N20" si="4">ROUND(L10/B10,2)</f>
        <v>0.09</v>
      </c>
      <c r="O10" s="55">
        <f t="shared" ref="O10:O20" si="5">ROUND(M10/D10,2)</f>
        <v>0.09</v>
      </c>
    </row>
    <row r="11" spans="1:15" x14ac:dyDescent="0.2">
      <c r="A11" s="63" t="s">
        <v>5</v>
      </c>
      <c r="B11" s="50">
        <v>1040443</v>
      </c>
      <c r="C11" s="15">
        <f t="shared" si="1"/>
        <v>0.10150000000000001</v>
      </c>
      <c r="D11" s="50">
        <f t="shared" si="2"/>
        <v>2580786</v>
      </c>
      <c r="I11" s="37">
        <f>101154.81-6617.6</f>
        <v>94537.209999999992</v>
      </c>
      <c r="J11" s="37">
        <v>6617.6</v>
      </c>
      <c r="K11" s="37">
        <f t="shared" si="0"/>
        <v>101154.81</v>
      </c>
      <c r="L11" s="37">
        <f t="shared" si="3"/>
        <v>95662.2</v>
      </c>
      <c r="M11" s="37">
        <f t="shared" ref="M11:M20" si="6">+M10+L11</f>
        <v>238708.45</v>
      </c>
      <c r="N11" s="37">
        <f t="shared" si="4"/>
        <v>0.09</v>
      </c>
      <c r="O11" s="55">
        <f t="shared" si="5"/>
        <v>0.09</v>
      </c>
    </row>
    <row r="12" spans="1:15" x14ac:dyDescent="0.2">
      <c r="A12" s="63" t="s">
        <v>6</v>
      </c>
      <c r="B12" s="50">
        <v>1043486</v>
      </c>
      <c r="C12" s="15">
        <f t="shared" si="1"/>
        <v>0.1018</v>
      </c>
      <c r="D12" s="50">
        <f t="shared" si="2"/>
        <v>3624272</v>
      </c>
      <c r="I12" s="37">
        <f>103374.9-6762.84</f>
        <v>96612.06</v>
      </c>
      <c r="J12" s="37">
        <v>6762.84</v>
      </c>
      <c r="K12" s="37">
        <f t="shared" si="0"/>
        <v>103374.9</v>
      </c>
      <c r="L12" s="37">
        <f t="shared" si="3"/>
        <v>97761.74</v>
      </c>
      <c r="M12" s="37">
        <f t="shared" si="6"/>
        <v>336470.19</v>
      </c>
      <c r="N12" s="37">
        <f t="shared" si="4"/>
        <v>0.09</v>
      </c>
      <c r="O12" s="55">
        <f t="shared" si="5"/>
        <v>0.09</v>
      </c>
    </row>
    <row r="13" spans="1:15" x14ac:dyDescent="0.2">
      <c r="A13" s="63" t="s">
        <v>7</v>
      </c>
      <c r="B13" s="50">
        <v>1099213</v>
      </c>
      <c r="C13" s="15">
        <f t="shared" si="1"/>
        <v>0.10730000000000001</v>
      </c>
      <c r="D13" s="50">
        <f t="shared" si="2"/>
        <v>4723485</v>
      </c>
      <c r="I13" s="37">
        <f>105256.81-6885.96</f>
        <v>98370.849999999991</v>
      </c>
      <c r="J13" s="37">
        <v>6885.96</v>
      </c>
      <c r="K13" s="37">
        <f t="shared" si="0"/>
        <v>105256.81</v>
      </c>
      <c r="L13" s="37">
        <f t="shared" si="3"/>
        <v>99541.46</v>
      </c>
      <c r="M13" s="37">
        <f t="shared" si="6"/>
        <v>436011.65</v>
      </c>
      <c r="N13" s="37">
        <f t="shared" si="4"/>
        <v>0.09</v>
      </c>
      <c r="O13" s="55">
        <f t="shared" si="5"/>
        <v>0.09</v>
      </c>
    </row>
    <row r="14" spans="1:15" x14ac:dyDescent="0.2">
      <c r="A14" s="63" t="s">
        <v>8</v>
      </c>
      <c r="B14" s="50">
        <v>978857</v>
      </c>
      <c r="C14" s="15">
        <f t="shared" si="1"/>
        <v>9.5500000000000002E-2</v>
      </c>
      <c r="D14" s="50">
        <f t="shared" si="2"/>
        <v>5702342</v>
      </c>
      <c r="I14" s="37">
        <f>97714.83-6392.56</f>
        <v>91322.27</v>
      </c>
      <c r="J14" s="37">
        <v>6392.56</v>
      </c>
      <c r="K14" s="37">
        <f t="shared" si="0"/>
        <v>97714.83</v>
      </c>
      <c r="L14" s="37">
        <f t="shared" si="3"/>
        <v>92409.01</v>
      </c>
      <c r="M14" s="37">
        <f t="shared" si="6"/>
        <v>528420.66</v>
      </c>
      <c r="N14" s="37">
        <f t="shared" si="4"/>
        <v>0.09</v>
      </c>
      <c r="O14" s="55">
        <f t="shared" si="5"/>
        <v>0.09</v>
      </c>
    </row>
    <row r="15" spans="1:15" x14ac:dyDescent="0.2">
      <c r="A15" s="63" t="s">
        <v>9</v>
      </c>
      <c r="B15" s="50">
        <v>748343</v>
      </c>
      <c r="C15" s="15">
        <f t="shared" si="1"/>
        <v>7.2999999999999995E-2</v>
      </c>
      <c r="D15" s="50">
        <f t="shared" si="2"/>
        <v>6450685</v>
      </c>
      <c r="I15" s="37">
        <f>75696.93-4952.14</f>
        <v>70744.789999999994</v>
      </c>
      <c r="J15" s="37">
        <v>4952.1400000000003</v>
      </c>
      <c r="K15" s="37">
        <f t="shared" si="0"/>
        <v>75696.929999999993</v>
      </c>
      <c r="L15" s="37">
        <f t="shared" si="3"/>
        <v>71586.649999999994</v>
      </c>
      <c r="M15" s="37">
        <f t="shared" si="6"/>
        <v>600007.31000000006</v>
      </c>
      <c r="N15" s="37">
        <f t="shared" si="4"/>
        <v>0.1</v>
      </c>
      <c r="O15" s="55">
        <f t="shared" si="5"/>
        <v>0.09</v>
      </c>
    </row>
    <row r="16" spans="1:15" x14ac:dyDescent="0.2">
      <c r="A16" s="63" t="s">
        <v>10</v>
      </c>
      <c r="B16" s="50">
        <v>688528</v>
      </c>
      <c r="C16" s="15">
        <f t="shared" si="1"/>
        <v>6.7199999999999996E-2</v>
      </c>
      <c r="D16" s="50">
        <f t="shared" si="2"/>
        <v>7139213</v>
      </c>
      <c r="I16" s="37">
        <f>64840.48-4241.9-71206.55</f>
        <v>-10607.970000000001</v>
      </c>
      <c r="J16" s="37">
        <f>4241.9-4984.46</f>
        <v>-742.5600000000004</v>
      </c>
      <c r="K16" s="37">
        <f t="shared" si="0"/>
        <v>-11350.530000000002</v>
      </c>
      <c r="L16" s="37">
        <f t="shared" si="3"/>
        <v>-10734.21</v>
      </c>
      <c r="M16" s="37">
        <f t="shared" si="6"/>
        <v>589273.10000000009</v>
      </c>
      <c r="N16" s="37">
        <f t="shared" si="4"/>
        <v>-0.02</v>
      </c>
      <c r="O16" s="55">
        <f t="shared" si="5"/>
        <v>0.08</v>
      </c>
    </row>
    <row r="17" spans="1:15" x14ac:dyDescent="0.2">
      <c r="A17" s="63" t="s">
        <v>11</v>
      </c>
      <c r="B17" s="50">
        <v>772479</v>
      </c>
      <c r="C17" s="15">
        <f t="shared" si="1"/>
        <v>7.5399999999999995E-2</v>
      </c>
      <c r="D17" s="50">
        <f t="shared" si="2"/>
        <v>7911692</v>
      </c>
      <c r="I17" s="37">
        <f>71446.55-4674.07</f>
        <v>66772.48000000001</v>
      </c>
      <c r="J17" s="37">
        <v>4674.07</v>
      </c>
      <c r="K17" s="37">
        <f t="shared" si="0"/>
        <v>71446.550000000017</v>
      </c>
      <c r="L17" s="37">
        <f t="shared" si="3"/>
        <v>67567.070000000007</v>
      </c>
      <c r="M17" s="37">
        <f t="shared" si="6"/>
        <v>656840.17000000016</v>
      </c>
      <c r="N17" s="37">
        <f t="shared" si="4"/>
        <v>0.09</v>
      </c>
      <c r="O17" s="55">
        <f t="shared" si="5"/>
        <v>0.08</v>
      </c>
    </row>
    <row r="18" spans="1:15" x14ac:dyDescent="0.2">
      <c r="A18" s="63" t="s">
        <v>12</v>
      </c>
      <c r="B18" s="50">
        <v>783313</v>
      </c>
      <c r="C18" s="15">
        <f t="shared" si="1"/>
        <v>7.6399999999999996E-2</v>
      </c>
      <c r="D18" s="50">
        <f t="shared" si="2"/>
        <v>8695005</v>
      </c>
      <c r="I18" s="37">
        <f>72142.74-4719.62</f>
        <v>67423.12000000001</v>
      </c>
      <c r="J18" s="37">
        <v>4719.62</v>
      </c>
      <c r="K18" s="37">
        <f t="shared" si="0"/>
        <v>72142.740000000005</v>
      </c>
      <c r="L18" s="37">
        <f t="shared" si="3"/>
        <v>68225.460000000006</v>
      </c>
      <c r="M18" s="37">
        <f t="shared" si="6"/>
        <v>725065.63000000012</v>
      </c>
      <c r="N18" s="37">
        <f t="shared" si="4"/>
        <v>0.09</v>
      </c>
      <c r="O18" s="55">
        <f t="shared" si="5"/>
        <v>0.08</v>
      </c>
    </row>
    <row r="19" spans="1:15" x14ac:dyDescent="0.2">
      <c r="A19" s="63" t="s">
        <v>13</v>
      </c>
      <c r="B19" s="50">
        <v>753480</v>
      </c>
      <c r="C19" s="15">
        <f t="shared" si="1"/>
        <v>7.3499999999999996E-2</v>
      </c>
      <c r="D19" s="50">
        <f t="shared" si="2"/>
        <v>9448485</v>
      </c>
      <c r="I19" s="37">
        <f>70088-4585.2</f>
        <v>65502.8</v>
      </c>
      <c r="J19" s="37">
        <v>4585.2</v>
      </c>
      <c r="K19" s="37">
        <f t="shared" si="0"/>
        <v>70088</v>
      </c>
      <c r="L19" s="37">
        <f t="shared" si="3"/>
        <v>66282.28</v>
      </c>
      <c r="M19" s="37">
        <f t="shared" si="6"/>
        <v>791347.91000000015</v>
      </c>
      <c r="N19" s="37">
        <f t="shared" si="4"/>
        <v>0.09</v>
      </c>
      <c r="O19" s="55">
        <f t="shared" si="5"/>
        <v>0.08</v>
      </c>
    </row>
    <row r="20" spans="1:15" x14ac:dyDescent="0.2">
      <c r="A20" s="63" t="s">
        <v>14</v>
      </c>
      <c r="B20" s="50">
        <v>799998</v>
      </c>
      <c r="C20" s="15">
        <f t="shared" si="1"/>
        <v>7.8100000000000003E-2</v>
      </c>
      <c r="D20" s="50">
        <f t="shared" si="2"/>
        <v>10248483</v>
      </c>
      <c r="I20" s="37">
        <f>73475.06-4806.78</f>
        <v>68668.28</v>
      </c>
      <c r="J20" s="37">
        <v>4806.78</v>
      </c>
      <c r="K20" s="37">
        <f t="shared" si="0"/>
        <v>73475.06</v>
      </c>
      <c r="L20" s="37">
        <f t="shared" si="3"/>
        <v>69485.429999999993</v>
      </c>
      <c r="M20" s="37">
        <f t="shared" si="6"/>
        <v>860833.34000000008</v>
      </c>
      <c r="N20" s="37">
        <f t="shared" si="4"/>
        <v>0.09</v>
      </c>
      <c r="O20" s="55">
        <f t="shared" si="5"/>
        <v>0.08</v>
      </c>
    </row>
    <row r="22" spans="1:15" x14ac:dyDescent="0.2">
      <c r="A22" s="63" t="s">
        <v>24</v>
      </c>
      <c r="B22" s="50">
        <f>SUM(B9:B20)</f>
        <v>10248483</v>
      </c>
      <c r="C22" s="15">
        <f>SUM(C9:C20)</f>
        <v>1</v>
      </c>
      <c r="I22" s="37">
        <f>SUM(I9:I20)</f>
        <v>850709.91000000015</v>
      </c>
      <c r="J22" s="37">
        <f>SUM(J9:J20)</f>
        <v>59549.69</v>
      </c>
      <c r="K22" s="37">
        <f>SUM(K9:K20)</f>
        <v>910259.60000000009</v>
      </c>
      <c r="L22" s="37">
        <f>SUM(L9:L20)</f>
        <v>860833.34000000008</v>
      </c>
      <c r="N22" s="37">
        <f>ROUND(L22/B22,2)</f>
        <v>0.08</v>
      </c>
    </row>
    <row r="26" spans="1:15" x14ac:dyDescent="0.2">
      <c r="C26" s="3"/>
      <c r="D26" s="50" t="s">
        <v>30</v>
      </c>
      <c r="K26" s="37" t="s">
        <v>21</v>
      </c>
      <c r="L26" s="37" t="s">
        <v>23</v>
      </c>
      <c r="M26" s="37" t="s">
        <v>30</v>
      </c>
      <c r="N26" s="37" t="s">
        <v>25</v>
      </c>
      <c r="O26" s="54" t="s">
        <v>32</v>
      </c>
    </row>
    <row r="27" spans="1:15" x14ac:dyDescent="0.2">
      <c r="A27" s="63" t="s">
        <v>26</v>
      </c>
      <c r="B27" s="50" t="s">
        <v>38</v>
      </c>
      <c r="C27" s="3" t="s">
        <v>44</v>
      </c>
      <c r="D27" s="50" t="s">
        <v>38</v>
      </c>
      <c r="I27" s="37" t="s">
        <v>39</v>
      </c>
      <c r="J27" s="37" t="s">
        <v>40</v>
      </c>
      <c r="K27" s="37" t="s">
        <v>39</v>
      </c>
      <c r="L27" s="37" t="s">
        <v>34</v>
      </c>
      <c r="M27" s="37" t="s">
        <v>34</v>
      </c>
      <c r="N27" s="37" t="s">
        <v>38</v>
      </c>
      <c r="O27" s="54" t="s">
        <v>41</v>
      </c>
    </row>
    <row r="28" spans="1:15" x14ac:dyDescent="0.2">
      <c r="D28" s="50" t="s">
        <v>31</v>
      </c>
    </row>
    <row r="29" spans="1:15" x14ac:dyDescent="0.2">
      <c r="A29" s="63" t="s">
        <v>3</v>
      </c>
      <c r="B29" s="50">
        <v>765406</v>
      </c>
      <c r="C29" s="15">
        <f>ROUND(B29/$B$42,4)</f>
        <v>7.4300000000000005E-2</v>
      </c>
      <c r="D29" s="50">
        <f>+B29</f>
        <v>765406</v>
      </c>
      <c r="I29" s="37">
        <f>73543-4811.22</f>
        <v>68731.78</v>
      </c>
      <c r="J29" s="37">
        <v>4811.22</v>
      </c>
      <c r="K29" s="37">
        <f t="shared" ref="K29:K40" si="7">+I29+J29</f>
        <v>73543</v>
      </c>
      <c r="L29" s="37">
        <f>ROUND(I29+(J29*0.17),2)</f>
        <v>69549.69</v>
      </c>
      <c r="M29" s="57">
        <f>+L29</f>
        <v>69549.69</v>
      </c>
      <c r="N29" s="37">
        <f>ROUND(L29/B29,2)</f>
        <v>0.09</v>
      </c>
      <c r="O29" s="55">
        <f>ROUND(M29/D29,2)</f>
        <v>0.09</v>
      </c>
    </row>
    <row r="30" spans="1:15" x14ac:dyDescent="0.2">
      <c r="A30" s="63" t="s">
        <v>4</v>
      </c>
      <c r="B30" s="50">
        <v>823378</v>
      </c>
      <c r="C30" s="15">
        <f t="shared" ref="C30:C40" si="8">ROUND(B30/$B$42,4)</f>
        <v>0.08</v>
      </c>
      <c r="D30" s="50">
        <f t="shared" ref="D30:D40" si="9">+D29+B30</f>
        <v>1588784</v>
      </c>
      <c r="I30" s="37">
        <f>78327.17-5124.21</f>
        <v>73202.959999999992</v>
      </c>
      <c r="J30" s="37">
        <v>5124.21</v>
      </c>
      <c r="K30" s="37">
        <f t="shared" si="7"/>
        <v>78327.17</v>
      </c>
      <c r="L30" s="37">
        <f t="shared" ref="L30:L40" si="10">ROUND(I30+(J30*0.17),2)</f>
        <v>74074.080000000002</v>
      </c>
      <c r="M30" s="57">
        <f>+M29+L30</f>
        <v>143623.77000000002</v>
      </c>
      <c r="N30" s="37">
        <f t="shared" ref="N30:N40" si="11">ROUND(L30/B30,2)</f>
        <v>0.09</v>
      </c>
      <c r="O30" s="55">
        <f t="shared" ref="O30:O40" si="12">ROUND(M30/D30,2)</f>
        <v>0.09</v>
      </c>
    </row>
    <row r="31" spans="1:15" x14ac:dyDescent="0.2">
      <c r="A31" s="63" t="s">
        <v>5</v>
      </c>
      <c r="B31" s="50">
        <v>1038120</v>
      </c>
      <c r="C31" s="15">
        <f t="shared" si="8"/>
        <v>0.1008</v>
      </c>
      <c r="D31" s="50">
        <f t="shared" si="9"/>
        <v>2626904</v>
      </c>
      <c r="I31" s="37">
        <f>102987.58-5829.49</f>
        <v>97158.09</v>
      </c>
      <c r="J31" s="37">
        <v>5829.49</v>
      </c>
      <c r="K31" s="37">
        <f t="shared" si="7"/>
        <v>102987.58</v>
      </c>
      <c r="L31" s="37">
        <f t="shared" si="10"/>
        <v>98149.1</v>
      </c>
      <c r="M31" s="57">
        <f t="shared" ref="M31:M40" si="13">+M30+L31</f>
        <v>241772.87000000002</v>
      </c>
      <c r="N31" s="37">
        <f t="shared" si="11"/>
        <v>0.09</v>
      </c>
      <c r="O31" s="55">
        <f t="shared" si="12"/>
        <v>0.09</v>
      </c>
    </row>
    <row r="32" spans="1:15" x14ac:dyDescent="0.2">
      <c r="A32" s="63" t="s">
        <v>6</v>
      </c>
      <c r="B32" s="50">
        <v>1014764</v>
      </c>
      <c r="C32" s="15">
        <f t="shared" si="8"/>
        <v>9.8599999999999993E-2</v>
      </c>
      <c r="D32" s="50">
        <f t="shared" si="9"/>
        <v>3641668</v>
      </c>
      <c r="I32" s="37">
        <f>96183.65-5444.36</f>
        <v>90739.29</v>
      </c>
      <c r="J32" s="37">
        <v>5444.36</v>
      </c>
      <c r="K32" s="37">
        <f t="shared" si="7"/>
        <v>96183.65</v>
      </c>
      <c r="L32" s="37">
        <f t="shared" si="10"/>
        <v>91664.83</v>
      </c>
      <c r="M32" s="57">
        <f t="shared" si="13"/>
        <v>333437.7</v>
      </c>
      <c r="N32" s="37">
        <f t="shared" si="11"/>
        <v>0.09</v>
      </c>
      <c r="O32" s="55">
        <f t="shared" si="12"/>
        <v>0.09</v>
      </c>
    </row>
    <row r="33" spans="1:15" x14ac:dyDescent="0.2">
      <c r="A33" s="63" t="s">
        <v>7</v>
      </c>
      <c r="B33" s="50">
        <v>1038482</v>
      </c>
      <c r="C33" s="15">
        <f t="shared" si="8"/>
        <v>0.1009</v>
      </c>
      <c r="D33" s="50">
        <f t="shared" si="9"/>
        <v>4680150</v>
      </c>
      <c r="I33" s="37">
        <f>111079.7-6287.53</f>
        <v>104792.17</v>
      </c>
      <c r="J33" s="37">
        <v>6287.53</v>
      </c>
      <c r="K33" s="37">
        <f t="shared" si="7"/>
        <v>111079.7</v>
      </c>
      <c r="L33" s="37">
        <f t="shared" si="10"/>
        <v>105861.05</v>
      </c>
      <c r="M33" s="57">
        <f t="shared" si="13"/>
        <v>439298.75</v>
      </c>
      <c r="N33" s="37">
        <f t="shared" si="11"/>
        <v>0.1</v>
      </c>
      <c r="O33" s="55">
        <f t="shared" si="12"/>
        <v>0.09</v>
      </c>
    </row>
    <row r="34" spans="1:15" x14ac:dyDescent="0.2">
      <c r="A34" s="63" t="s">
        <v>8</v>
      </c>
      <c r="B34" s="50">
        <v>934042</v>
      </c>
      <c r="C34" s="15">
        <f t="shared" si="8"/>
        <v>9.0700000000000003E-2</v>
      </c>
      <c r="D34" s="50">
        <f t="shared" si="9"/>
        <v>5614192</v>
      </c>
      <c r="I34" s="37">
        <f>75536.41-4275.65</f>
        <v>71260.760000000009</v>
      </c>
      <c r="J34" s="37">
        <v>4275.6499999999996</v>
      </c>
      <c r="K34" s="37">
        <f t="shared" si="7"/>
        <v>75536.41</v>
      </c>
      <c r="L34" s="37">
        <f t="shared" si="10"/>
        <v>71987.62</v>
      </c>
      <c r="M34" s="57">
        <f t="shared" si="13"/>
        <v>511286.37</v>
      </c>
      <c r="N34" s="37">
        <f t="shared" si="11"/>
        <v>0.08</v>
      </c>
      <c r="O34" s="55">
        <f t="shared" si="12"/>
        <v>0.09</v>
      </c>
    </row>
    <row r="35" spans="1:15" x14ac:dyDescent="0.2">
      <c r="A35" s="63" t="s">
        <v>9</v>
      </c>
      <c r="B35" s="50">
        <v>765539</v>
      </c>
      <c r="C35" s="15">
        <f t="shared" si="8"/>
        <v>7.4399999999999994E-2</v>
      </c>
      <c r="D35" s="50">
        <f t="shared" si="9"/>
        <v>6379731</v>
      </c>
      <c r="I35" s="37">
        <f>65914.28-3731</f>
        <v>62183.28</v>
      </c>
      <c r="J35" s="37">
        <v>3731</v>
      </c>
      <c r="K35" s="37">
        <f t="shared" si="7"/>
        <v>65914.28</v>
      </c>
      <c r="L35" s="37">
        <f t="shared" si="10"/>
        <v>62817.55</v>
      </c>
      <c r="M35" s="57">
        <f t="shared" si="13"/>
        <v>574103.92000000004</v>
      </c>
      <c r="N35" s="37">
        <f t="shared" si="11"/>
        <v>0.08</v>
      </c>
      <c r="O35" s="55">
        <f t="shared" si="12"/>
        <v>0.09</v>
      </c>
    </row>
    <row r="36" spans="1:15" x14ac:dyDescent="0.2">
      <c r="A36" s="63" t="s">
        <v>10</v>
      </c>
      <c r="B36" s="50">
        <v>710970</v>
      </c>
      <c r="C36" s="15">
        <f t="shared" si="8"/>
        <v>6.9099999999999995E-2</v>
      </c>
      <c r="D36" s="50">
        <f t="shared" si="9"/>
        <v>7090701</v>
      </c>
      <c r="I36" s="37">
        <f>73175.18-4141.99-4637.35</f>
        <v>64395.839999999989</v>
      </c>
      <c r="J36" s="37">
        <f>4141.99-278.24</f>
        <v>3863.75</v>
      </c>
      <c r="K36" s="37">
        <f t="shared" si="7"/>
        <v>68259.59</v>
      </c>
      <c r="L36" s="37">
        <f t="shared" si="10"/>
        <v>65052.68</v>
      </c>
      <c r="M36" s="57">
        <f t="shared" si="13"/>
        <v>639156.60000000009</v>
      </c>
      <c r="N36" s="37">
        <f t="shared" si="11"/>
        <v>0.09</v>
      </c>
      <c r="O36" s="55">
        <f t="shared" si="12"/>
        <v>0.09</v>
      </c>
    </row>
    <row r="37" spans="1:15" x14ac:dyDescent="0.2">
      <c r="A37" s="63" t="s">
        <v>11</v>
      </c>
      <c r="B37" s="50">
        <v>819803</v>
      </c>
      <c r="C37" s="15">
        <f t="shared" si="8"/>
        <v>7.9600000000000004E-2</v>
      </c>
      <c r="D37" s="50">
        <f t="shared" si="9"/>
        <v>7910504</v>
      </c>
      <c r="I37" s="37">
        <f>69552.62-3936.94</f>
        <v>65615.679999999993</v>
      </c>
      <c r="J37" s="37">
        <v>3936.94</v>
      </c>
      <c r="K37" s="37">
        <f t="shared" si="7"/>
        <v>69552.62</v>
      </c>
      <c r="L37" s="37">
        <f t="shared" si="10"/>
        <v>66284.960000000006</v>
      </c>
      <c r="M37" s="57">
        <f t="shared" si="13"/>
        <v>705441.56</v>
      </c>
      <c r="N37" s="37">
        <f t="shared" si="11"/>
        <v>0.08</v>
      </c>
      <c r="O37" s="55">
        <f t="shared" si="12"/>
        <v>0.09</v>
      </c>
    </row>
    <row r="38" spans="1:15" x14ac:dyDescent="0.2">
      <c r="A38" s="63" t="s">
        <v>12</v>
      </c>
      <c r="B38" s="50">
        <v>806224</v>
      </c>
      <c r="C38" s="15">
        <f t="shared" si="8"/>
        <v>7.8299999999999995E-2</v>
      </c>
      <c r="D38" s="50">
        <f t="shared" si="9"/>
        <v>8716728</v>
      </c>
      <c r="I38" s="37">
        <f>61391.61-3475</f>
        <v>57916.61</v>
      </c>
      <c r="J38" s="37">
        <v>3475</v>
      </c>
      <c r="K38" s="37">
        <f t="shared" si="7"/>
        <v>61391.61</v>
      </c>
      <c r="L38" s="37">
        <f t="shared" si="10"/>
        <v>58507.360000000001</v>
      </c>
      <c r="M38" s="57">
        <f t="shared" si="13"/>
        <v>763948.92</v>
      </c>
      <c r="N38" s="37">
        <f t="shared" si="11"/>
        <v>7.0000000000000007E-2</v>
      </c>
      <c r="O38" s="55">
        <f t="shared" si="12"/>
        <v>0.09</v>
      </c>
    </row>
    <row r="39" spans="1:15" x14ac:dyDescent="0.2">
      <c r="A39" s="63" t="s">
        <v>13</v>
      </c>
      <c r="B39" s="50">
        <v>769236</v>
      </c>
      <c r="C39" s="15">
        <f t="shared" si="8"/>
        <v>7.4700000000000003E-2</v>
      </c>
      <c r="D39" s="50">
        <f t="shared" si="9"/>
        <v>9485964</v>
      </c>
      <c r="I39" s="37">
        <f>81706.97-4624.92</f>
        <v>77082.05</v>
      </c>
      <c r="J39" s="37">
        <v>4624.92</v>
      </c>
      <c r="K39" s="37">
        <f t="shared" si="7"/>
        <v>81706.97</v>
      </c>
      <c r="L39" s="37">
        <f t="shared" si="10"/>
        <v>77868.289999999994</v>
      </c>
      <c r="M39" s="57">
        <f t="shared" si="13"/>
        <v>841817.21000000008</v>
      </c>
      <c r="N39" s="37">
        <f t="shared" si="11"/>
        <v>0.1</v>
      </c>
      <c r="O39" s="55">
        <f t="shared" si="12"/>
        <v>0.09</v>
      </c>
    </row>
    <row r="40" spans="1:15" x14ac:dyDescent="0.2">
      <c r="A40" s="63" t="s">
        <v>14</v>
      </c>
      <c r="B40" s="50">
        <v>808810</v>
      </c>
      <c r="C40" s="15">
        <f t="shared" si="8"/>
        <v>7.8600000000000003E-2</v>
      </c>
      <c r="D40" s="50">
        <f t="shared" si="9"/>
        <v>10294774</v>
      </c>
      <c r="I40" s="37">
        <f>73602.73-4166.19</f>
        <v>69436.539999999994</v>
      </c>
      <c r="J40" s="37">
        <v>4166.1899999999996</v>
      </c>
      <c r="K40" s="37">
        <f t="shared" si="7"/>
        <v>73602.73</v>
      </c>
      <c r="L40" s="37">
        <f t="shared" si="10"/>
        <v>70144.789999999994</v>
      </c>
      <c r="M40" s="57">
        <f t="shared" si="13"/>
        <v>911962.00000000012</v>
      </c>
      <c r="N40" s="37">
        <f t="shared" si="11"/>
        <v>0.09</v>
      </c>
      <c r="O40" s="55">
        <f t="shared" si="12"/>
        <v>0.09</v>
      </c>
    </row>
    <row r="41" spans="1:15" x14ac:dyDescent="0.2">
      <c r="M41" s="57"/>
    </row>
    <row r="42" spans="1:15" x14ac:dyDescent="0.2">
      <c r="A42" s="63" t="s">
        <v>24</v>
      </c>
      <c r="B42" s="50">
        <f>SUM(B29:B40)</f>
        <v>10294774</v>
      </c>
      <c r="C42" s="15">
        <f>SUM(C29:C40)</f>
        <v>1</v>
      </c>
      <c r="I42" s="37">
        <f>SUM(I29:I40)</f>
        <v>902515.04999999993</v>
      </c>
      <c r="J42" s="37">
        <f>SUM(J29:J40)</f>
        <v>55570.26</v>
      </c>
      <c r="K42" s="37">
        <f>SUM(K29:K40)</f>
        <v>958085.30999999994</v>
      </c>
      <c r="L42" s="37">
        <f>SUM(L29:L40)</f>
        <v>911962.00000000012</v>
      </c>
      <c r="M42" s="57"/>
      <c r="N42" s="37">
        <f>ROUND(L42/B42,2)</f>
        <v>0.09</v>
      </c>
    </row>
    <row r="43" spans="1:15" x14ac:dyDescent="0.2">
      <c r="M43" s="57"/>
    </row>
    <row r="44" spans="1:15" x14ac:dyDescent="0.2">
      <c r="M44" s="57"/>
    </row>
    <row r="45" spans="1:15" x14ac:dyDescent="0.2">
      <c r="M45" s="57"/>
    </row>
    <row r="46" spans="1:15" x14ac:dyDescent="0.2">
      <c r="C46" s="3"/>
      <c r="D46" s="50" t="s">
        <v>30</v>
      </c>
      <c r="K46" s="37" t="s">
        <v>21</v>
      </c>
      <c r="L46" s="37" t="s">
        <v>23</v>
      </c>
      <c r="M46" s="57" t="s">
        <v>30</v>
      </c>
      <c r="N46" s="37" t="s">
        <v>25</v>
      </c>
      <c r="O46" s="54" t="s">
        <v>32</v>
      </c>
    </row>
    <row r="47" spans="1:15" x14ac:dyDescent="0.2">
      <c r="A47" s="63" t="s">
        <v>27</v>
      </c>
      <c r="B47" s="50" t="s">
        <v>38</v>
      </c>
      <c r="C47" s="3" t="s">
        <v>44</v>
      </c>
      <c r="D47" s="50" t="s">
        <v>38</v>
      </c>
      <c r="I47" s="37" t="s">
        <v>39</v>
      </c>
      <c r="J47" s="37" t="s">
        <v>40</v>
      </c>
      <c r="K47" s="37" t="s">
        <v>39</v>
      </c>
      <c r="L47" s="37" t="s">
        <v>34</v>
      </c>
      <c r="M47" s="57" t="s">
        <v>34</v>
      </c>
      <c r="N47" s="37" t="s">
        <v>38</v>
      </c>
      <c r="O47" s="54" t="s">
        <v>41</v>
      </c>
    </row>
    <row r="48" spans="1:15" x14ac:dyDescent="0.2">
      <c r="D48" s="50" t="s">
        <v>31</v>
      </c>
      <c r="M48" s="57"/>
    </row>
    <row r="49" spans="1:15" x14ac:dyDescent="0.2">
      <c r="A49" s="63" t="s">
        <v>3</v>
      </c>
      <c r="B49" s="50">
        <v>779226</v>
      </c>
      <c r="C49" s="15">
        <f>ROUND(B49/$B$62,4)</f>
        <v>7.2999999999999995E-2</v>
      </c>
      <c r="D49" s="50">
        <f>+B49</f>
        <v>779226</v>
      </c>
      <c r="I49" s="37">
        <f>63762.82-3609.22</f>
        <v>60153.599999999999</v>
      </c>
      <c r="J49" s="37">
        <v>3609.22</v>
      </c>
      <c r="K49" s="37">
        <f t="shared" ref="K49:K60" si="14">+I49+J49</f>
        <v>63762.82</v>
      </c>
      <c r="L49" s="37">
        <f>ROUND(I49+(J49*0.17),2)</f>
        <v>60767.17</v>
      </c>
      <c r="M49" s="57">
        <f>+L49</f>
        <v>60767.17</v>
      </c>
      <c r="N49" s="37">
        <f>ROUND(L49/B49,2)</f>
        <v>0.08</v>
      </c>
      <c r="O49" s="55">
        <f>ROUND(M49/D49,2)</f>
        <v>0.08</v>
      </c>
    </row>
    <row r="50" spans="1:15" x14ac:dyDescent="0.2">
      <c r="A50" s="63" t="s">
        <v>4</v>
      </c>
      <c r="B50" s="50">
        <v>804928</v>
      </c>
      <c r="C50" s="15">
        <f t="shared" ref="C50:C60" si="15">ROUND(B50/$B$62,4)</f>
        <v>7.5399999999999995E-2</v>
      </c>
      <c r="D50" s="50">
        <f t="shared" ref="D50:D60" si="16">+D49+B50</f>
        <v>1584154</v>
      </c>
      <c r="I50" s="37">
        <f>69319.3-3923.73-1643.92</f>
        <v>63751.65</v>
      </c>
      <c r="J50" s="37">
        <f>3923.73-98.64</f>
        <v>3825.09</v>
      </c>
      <c r="K50" s="37">
        <f t="shared" si="14"/>
        <v>67576.740000000005</v>
      </c>
      <c r="L50" s="37">
        <f t="shared" ref="L50:L60" si="17">ROUND(I50+(J50*0.17),2)</f>
        <v>64401.919999999998</v>
      </c>
      <c r="M50" s="57">
        <f>+M49+L50</f>
        <v>125169.09</v>
      </c>
      <c r="N50" s="37">
        <f t="shared" ref="N50:N60" si="18">ROUND(L50/B50,2)</f>
        <v>0.08</v>
      </c>
      <c r="O50" s="55">
        <f t="shared" ref="O50:O60" si="19">ROUND(M50/D50,2)</f>
        <v>0.08</v>
      </c>
    </row>
    <row r="51" spans="1:15" x14ac:dyDescent="0.2">
      <c r="A51" s="63" t="s">
        <v>5</v>
      </c>
      <c r="B51" s="50">
        <v>1086759</v>
      </c>
      <c r="C51" s="15">
        <f t="shared" si="15"/>
        <v>0.1018</v>
      </c>
      <c r="D51" s="50">
        <f t="shared" si="16"/>
        <v>2670913</v>
      </c>
      <c r="I51" s="37">
        <f>103426.2-5854.31</f>
        <v>97571.89</v>
      </c>
      <c r="J51" s="37">
        <v>5854.31</v>
      </c>
      <c r="K51" s="37">
        <f t="shared" si="14"/>
        <v>103426.2</v>
      </c>
      <c r="L51" s="37">
        <f t="shared" si="17"/>
        <v>98567.12</v>
      </c>
      <c r="M51" s="57">
        <f t="shared" ref="M51:M60" si="20">+M50+L51</f>
        <v>223736.21</v>
      </c>
      <c r="N51" s="37">
        <f t="shared" si="18"/>
        <v>0.09</v>
      </c>
      <c r="O51" s="55">
        <f t="shared" si="19"/>
        <v>0.08</v>
      </c>
    </row>
    <row r="52" spans="1:15" x14ac:dyDescent="0.2">
      <c r="A52" s="63" t="s">
        <v>6</v>
      </c>
      <c r="B52" s="50">
        <v>971214</v>
      </c>
      <c r="C52" s="15">
        <f t="shared" si="15"/>
        <v>9.0999999999999998E-2</v>
      </c>
      <c r="D52" s="50">
        <f t="shared" si="16"/>
        <v>3642127</v>
      </c>
      <c r="I52" s="37">
        <f>94376.9-5342.09</f>
        <v>89034.81</v>
      </c>
      <c r="J52" s="37">
        <v>5342.09</v>
      </c>
      <c r="K52" s="37">
        <f t="shared" si="14"/>
        <v>94376.9</v>
      </c>
      <c r="L52" s="37">
        <f t="shared" si="17"/>
        <v>89942.97</v>
      </c>
      <c r="M52" s="57">
        <f t="shared" si="20"/>
        <v>313679.18</v>
      </c>
      <c r="N52" s="37">
        <f t="shared" si="18"/>
        <v>0.09</v>
      </c>
      <c r="O52" s="55">
        <f t="shared" si="19"/>
        <v>0.09</v>
      </c>
    </row>
    <row r="53" spans="1:15" x14ac:dyDescent="0.2">
      <c r="A53" s="63" t="s">
        <v>7</v>
      </c>
      <c r="B53" s="50">
        <v>1128197</v>
      </c>
      <c r="C53" s="15">
        <f t="shared" si="15"/>
        <v>0.1057</v>
      </c>
      <c r="D53" s="50">
        <f t="shared" si="16"/>
        <v>4770324</v>
      </c>
      <c r="I53" s="37">
        <f>117803.78-6668.14-6239.15</f>
        <v>104896.49</v>
      </c>
      <c r="J53" s="37">
        <f>6668.14-374.35</f>
        <v>6293.79</v>
      </c>
      <c r="K53" s="37">
        <f t="shared" si="14"/>
        <v>111190.28</v>
      </c>
      <c r="L53" s="37">
        <f t="shared" si="17"/>
        <v>105966.43</v>
      </c>
      <c r="M53" s="57">
        <f t="shared" si="20"/>
        <v>419645.61</v>
      </c>
      <c r="N53" s="37">
        <f t="shared" si="18"/>
        <v>0.09</v>
      </c>
      <c r="O53" s="55">
        <f t="shared" si="19"/>
        <v>0.09</v>
      </c>
    </row>
    <row r="54" spans="1:15" x14ac:dyDescent="0.2">
      <c r="A54" s="63" t="s">
        <v>8</v>
      </c>
      <c r="B54" s="50">
        <v>1074987</v>
      </c>
      <c r="C54" s="15">
        <f t="shared" si="15"/>
        <v>0.1007</v>
      </c>
      <c r="D54" s="50">
        <f t="shared" si="16"/>
        <v>5845311</v>
      </c>
      <c r="I54" s="37">
        <f>99642.62-5640.15</f>
        <v>94002.47</v>
      </c>
      <c r="J54" s="37">
        <v>5640.15</v>
      </c>
      <c r="K54" s="37">
        <f t="shared" si="14"/>
        <v>99642.62</v>
      </c>
      <c r="L54" s="37">
        <f t="shared" si="17"/>
        <v>94961.3</v>
      </c>
      <c r="M54" s="57">
        <f t="shared" si="20"/>
        <v>514606.91</v>
      </c>
      <c r="N54" s="37">
        <f t="shared" si="18"/>
        <v>0.09</v>
      </c>
      <c r="O54" s="55">
        <f t="shared" si="19"/>
        <v>0.09</v>
      </c>
    </row>
    <row r="55" spans="1:15" x14ac:dyDescent="0.2">
      <c r="A55" s="63" t="s">
        <v>9</v>
      </c>
      <c r="B55" s="50">
        <v>891519</v>
      </c>
      <c r="C55" s="15">
        <f t="shared" si="15"/>
        <v>8.3500000000000005E-2</v>
      </c>
      <c r="D55" s="50">
        <f t="shared" si="16"/>
        <v>6736830</v>
      </c>
      <c r="I55" s="37">
        <f>91448.78-5176.35</f>
        <v>86272.43</v>
      </c>
      <c r="J55" s="37">
        <v>5176.3500000000004</v>
      </c>
      <c r="K55" s="37">
        <f t="shared" si="14"/>
        <v>91448.78</v>
      </c>
      <c r="L55" s="37">
        <f t="shared" si="17"/>
        <v>87152.41</v>
      </c>
      <c r="M55" s="57">
        <f t="shared" si="20"/>
        <v>601759.31999999995</v>
      </c>
      <c r="N55" s="37">
        <f t="shared" si="18"/>
        <v>0.1</v>
      </c>
      <c r="O55" s="55">
        <f t="shared" si="19"/>
        <v>0.09</v>
      </c>
    </row>
    <row r="56" spans="1:15" x14ac:dyDescent="0.2">
      <c r="A56" s="63" t="s">
        <v>10</v>
      </c>
      <c r="B56" s="50">
        <v>804825</v>
      </c>
      <c r="C56" s="15">
        <f t="shared" si="15"/>
        <v>7.5399999999999995E-2</v>
      </c>
      <c r="D56" s="50">
        <f t="shared" si="16"/>
        <v>7541655</v>
      </c>
      <c r="I56" s="37">
        <f>71407.41-4041.93-1516.56</f>
        <v>65848.920000000013</v>
      </c>
      <c r="J56" s="37">
        <f>4041.93-90.99</f>
        <v>3950.94</v>
      </c>
      <c r="K56" s="37">
        <f t="shared" si="14"/>
        <v>69799.860000000015</v>
      </c>
      <c r="L56" s="37">
        <f t="shared" si="17"/>
        <v>66520.58</v>
      </c>
      <c r="M56" s="57">
        <f t="shared" si="20"/>
        <v>668279.89999999991</v>
      </c>
      <c r="N56" s="37">
        <f t="shared" si="18"/>
        <v>0.08</v>
      </c>
      <c r="O56" s="55">
        <f t="shared" si="19"/>
        <v>0.09</v>
      </c>
    </row>
    <row r="57" spans="1:15" x14ac:dyDescent="0.2">
      <c r="A57" s="63" t="s">
        <v>11</v>
      </c>
      <c r="B57" s="50">
        <v>705968</v>
      </c>
      <c r="C57" s="15">
        <f t="shared" si="15"/>
        <v>6.6199999999999995E-2</v>
      </c>
      <c r="D57" s="50">
        <f t="shared" si="16"/>
        <v>8247623</v>
      </c>
      <c r="I57" s="37">
        <f>74863.96-3564.95</f>
        <v>71299.010000000009</v>
      </c>
      <c r="J57" s="37">
        <v>3564.95</v>
      </c>
      <c r="K57" s="37">
        <f t="shared" si="14"/>
        <v>74863.960000000006</v>
      </c>
      <c r="L57" s="37">
        <f t="shared" si="17"/>
        <v>71905.05</v>
      </c>
      <c r="M57" s="57">
        <f t="shared" si="20"/>
        <v>740184.95</v>
      </c>
      <c r="N57" s="37">
        <f t="shared" si="18"/>
        <v>0.1</v>
      </c>
      <c r="O57" s="55">
        <f t="shared" si="19"/>
        <v>0.09</v>
      </c>
    </row>
    <row r="58" spans="1:15" x14ac:dyDescent="0.2">
      <c r="A58" s="63" t="s">
        <v>12</v>
      </c>
      <c r="B58" s="50">
        <v>887272</v>
      </c>
      <c r="C58" s="15">
        <f t="shared" si="15"/>
        <v>8.3099999999999993E-2</v>
      </c>
      <c r="D58" s="50">
        <f t="shared" si="16"/>
        <v>9134895</v>
      </c>
      <c r="I58" s="37">
        <f>63843.79-3040.18</f>
        <v>60803.61</v>
      </c>
      <c r="J58" s="37">
        <v>3040.18</v>
      </c>
      <c r="K58" s="37">
        <f t="shared" si="14"/>
        <v>63843.79</v>
      </c>
      <c r="L58" s="37">
        <f t="shared" si="17"/>
        <v>61320.44</v>
      </c>
      <c r="M58" s="57">
        <f t="shared" si="20"/>
        <v>801505.3899999999</v>
      </c>
      <c r="N58" s="37">
        <f t="shared" si="18"/>
        <v>7.0000000000000007E-2</v>
      </c>
      <c r="O58" s="55">
        <f t="shared" si="19"/>
        <v>0.09</v>
      </c>
    </row>
    <row r="59" spans="1:15" x14ac:dyDescent="0.2">
      <c r="A59" s="63" t="s">
        <v>13</v>
      </c>
      <c r="B59" s="50">
        <v>768469</v>
      </c>
      <c r="C59" s="15">
        <f t="shared" si="15"/>
        <v>7.1999999999999995E-2</v>
      </c>
      <c r="D59" s="50">
        <f t="shared" si="16"/>
        <v>9903364</v>
      </c>
      <c r="I59" s="37">
        <f>69450.66-3307.17-5315.08</f>
        <v>60828.41</v>
      </c>
      <c r="J59" s="37">
        <f>3307.17-318.9</f>
        <v>2988.27</v>
      </c>
      <c r="K59" s="37">
        <f t="shared" si="14"/>
        <v>63816.68</v>
      </c>
      <c r="L59" s="37">
        <f t="shared" si="17"/>
        <v>61336.42</v>
      </c>
      <c r="M59" s="57">
        <f t="shared" si="20"/>
        <v>862841.80999999994</v>
      </c>
      <c r="N59" s="37">
        <f t="shared" si="18"/>
        <v>0.08</v>
      </c>
      <c r="O59" s="55">
        <f t="shared" si="19"/>
        <v>0.09</v>
      </c>
    </row>
    <row r="60" spans="1:15" x14ac:dyDescent="0.2">
      <c r="A60" s="63" t="s">
        <v>14</v>
      </c>
      <c r="B60" s="50">
        <v>768767</v>
      </c>
      <c r="C60" s="15">
        <f t="shared" si="15"/>
        <v>7.1999999999999995E-2</v>
      </c>
      <c r="D60" s="50">
        <f t="shared" si="16"/>
        <v>10672131</v>
      </c>
      <c r="I60" s="37">
        <f>78715.01-3748.33</f>
        <v>74966.679999999993</v>
      </c>
      <c r="J60" s="37">
        <v>3748.33</v>
      </c>
      <c r="K60" s="37">
        <f t="shared" si="14"/>
        <v>78715.009999999995</v>
      </c>
      <c r="L60" s="37">
        <f t="shared" si="17"/>
        <v>75603.899999999994</v>
      </c>
      <c r="M60" s="57">
        <f t="shared" si="20"/>
        <v>938445.71</v>
      </c>
      <c r="N60" s="37">
        <f t="shared" si="18"/>
        <v>0.1</v>
      </c>
      <c r="O60" s="55">
        <f t="shared" si="19"/>
        <v>0.09</v>
      </c>
    </row>
    <row r="62" spans="1:15" x14ac:dyDescent="0.2">
      <c r="A62" s="63" t="s">
        <v>24</v>
      </c>
      <c r="B62" s="50">
        <f>SUM(B49:B60)</f>
        <v>10672131</v>
      </c>
      <c r="C62" s="15">
        <f>SUM(C49:C60)</f>
        <v>0.99979999999999991</v>
      </c>
      <c r="I62" s="37">
        <f>SUM(I49:I60)</f>
        <v>929429.9700000002</v>
      </c>
      <c r="J62" s="37">
        <f>SUM(J49:J60)</f>
        <v>53033.67</v>
      </c>
      <c r="K62" s="37">
        <f>SUM(K49:K60)</f>
        <v>982463.64000000013</v>
      </c>
      <c r="L62" s="37">
        <f>SUM(L49:L60)</f>
        <v>938445.71</v>
      </c>
      <c r="N62" s="37">
        <f>ROUND(L62/B62,2)</f>
        <v>0.09</v>
      </c>
    </row>
    <row r="66" spans="1:18" x14ac:dyDescent="0.2">
      <c r="C66" s="3"/>
      <c r="D66" s="50" t="s">
        <v>30</v>
      </c>
      <c r="E66" s="37" t="s">
        <v>45</v>
      </c>
      <c r="F66" s="37" t="s">
        <v>46</v>
      </c>
      <c r="G66" s="37" t="s">
        <v>48</v>
      </c>
      <c r="H66" s="37" t="s">
        <v>55</v>
      </c>
      <c r="I66" s="37" t="s">
        <v>21</v>
      </c>
      <c r="K66" s="37" t="s">
        <v>21</v>
      </c>
      <c r="L66" s="37" t="s">
        <v>23</v>
      </c>
      <c r="M66" s="37" t="s">
        <v>30</v>
      </c>
      <c r="N66" s="37" t="s">
        <v>30</v>
      </c>
      <c r="O66" s="54" t="s">
        <v>52</v>
      </c>
      <c r="P66" s="54" t="s">
        <v>53</v>
      </c>
      <c r="Q66" s="37" t="s">
        <v>50</v>
      </c>
      <c r="R66" s="37" t="s">
        <v>51</v>
      </c>
    </row>
    <row r="67" spans="1:18" x14ac:dyDescent="0.2">
      <c r="A67" s="63" t="s">
        <v>29</v>
      </c>
      <c r="B67" s="50" t="s">
        <v>38</v>
      </c>
      <c r="C67" s="3" t="s">
        <v>44</v>
      </c>
      <c r="D67" s="50" t="s">
        <v>38</v>
      </c>
      <c r="E67" s="37" t="s">
        <v>22</v>
      </c>
      <c r="F67" s="37" t="s">
        <v>47</v>
      </c>
      <c r="G67" s="37" t="s">
        <v>49</v>
      </c>
      <c r="H67" s="37" t="s">
        <v>56</v>
      </c>
      <c r="I67" s="37" t="s">
        <v>39</v>
      </c>
      <c r="J67" s="37" t="s">
        <v>40</v>
      </c>
      <c r="K67" s="37" t="s">
        <v>39</v>
      </c>
      <c r="L67" s="37" t="s">
        <v>34</v>
      </c>
      <c r="M67" s="37" t="s">
        <v>52</v>
      </c>
      <c r="N67" s="37" t="s">
        <v>54</v>
      </c>
      <c r="O67" s="54" t="s">
        <v>43</v>
      </c>
      <c r="P67" s="54" t="s">
        <v>41</v>
      </c>
      <c r="Q67" s="37" t="s">
        <v>43</v>
      </c>
      <c r="R67" s="37" t="s">
        <v>41</v>
      </c>
    </row>
    <row r="68" spans="1:18" x14ac:dyDescent="0.2">
      <c r="D68" s="50" t="s">
        <v>31</v>
      </c>
    </row>
    <row r="69" spans="1:18" x14ac:dyDescent="0.2">
      <c r="A69" s="63" t="s">
        <v>3</v>
      </c>
      <c r="B69" s="50">
        <v>846802</v>
      </c>
      <c r="C69" s="15">
        <f>ROUND(B69/$B$82,4)</f>
        <v>8.1600000000000006E-2</v>
      </c>
      <c r="D69" s="50">
        <f>+B69</f>
        <v>846802</v>
      </c>
      <c r="E69" s="40">
        <f>46150.07+1877.03</f>
        <v>48027.1</v>
      </c>
      <c r="F69" s="40">
        <f>14503.23+5250.42</f>
        <v>19753.650000000001</v>
      </c>
      <c r="G69" s="40">
        <v>5428.22</v>
      </c>
      <c r="H69" s="40">
        <v>-769.2</v>
      </c>
      <c r="I69" s="40">
        <f t="shared" ref="I69:I78" si="21">SUM(E69:H69)</f>
        <v>72439.77</v>
      </c>
      <c r="J69" s="40">
        <v>3621.99</v>
      </c>
      <c r="K69" s="40">
        <f t="shared" ref="K69:K80" si="22">+I69+J69</f>
        <v>76061.760000000009</v>
      </c>
      <c r="L69" s="40">
        <f>ROUND(I69+(J69*0.17),2)</f>
        <v>73055.509999999995</v>
      </c>
      <c r="M69" s="40">
        <f>+E69</f>
        <v>48027.1</v>
      </c>
      <c r="N69" s="56">
        <f>+L69</f>
        <v>73055.509999999995</v>
      </c>
      <c r="O69" s="55">
        <f>ROUND(E69/B69,3)</f>
        <v>5.7000000000000002E-2</v>
      </c>
      <c r="P69" s="55">
        <f>ROUND(M69/D69,3)</f>
        <v>5.7000000000000002E-2</v>
      </c>
      <c r="Q69" s="40">
        <f t="shared" ref="Q69:Q80" si="23">ROUND(L69/B69,2)</f>
        <v>0.09</v>
      </c>
      <c r="R69" s="40">
        <f t="shared" ref="R69:R80" si="24">ROUND(N69/D69,2)</f>
        <v>0.09</v>
      </c>
    </row>
    <row r="70" spans="1:18" x14ac:dyDescent="0.2">
      <c r="A70" s="63" t="s">
        <v>4</v>
      </c>
      <c r="B70" s="50">
        <v>782174</v>
      </c>
      <c r="C70" s="15">
        <f t="shared" ref="C70:C80" si="25">ROUND(B70/$B$82,4)</f>
        <v>7.5399999999999995E-2</v>
      </c>
      <c r="D70" s="50">
        <f t="shared" ref="D70:D80" si="26">+D69+B70</f>
        <v>1628976</v>
      </c>
      <c r="E70" s="40">
        <f>30581.32+3265.91</f>
        <v>33847.229999999996</v>
      </c>
      <c r="F70" s="40">
        <f>18888.33+4849.73</f>
        <v>23738.06</v>
      </c>
      <c r="G70" s="40">
        <v>5013.9399999999996</v>
      </c>
      <c r="H70" s="40">
        <f>-1003.2-1824.26</f>
        <v>-2827.46</v>
      </c>
      <c r="I70" s="40">
        <f t="shared" si="21"/>
        <v>59771.77</v>
      </c>
      <c r="J70" s="40">
        <f>3079.8-91.21</f>
        <v>2988.59</v>
      </c>
      <c r="K70" s="40">
        <f t="shared" si="22"/>
        <v>62760.36</v>
      </c>
      <c r="L70" s="40">
        <f t="shared" ref="L70:L80" si="27">ROUND(I70+(J70*0.17),2)</f>
        <v>60279.83</v>
      </c>
      <c r="M70" s="40">
        <f>+M69+E70</f>
        <v>81874.329999999987</v>
      </c>
      <c r="N70" s="56">
        <f t="shared" ref="N70:N80" si="28">+N69+L70</f>
        <v>133335.34</v>
      </c>
      <c r="O70" s="55">
        <f t="shared" ref="O70:O80" si="29">ROUND(E70/B70,3)</f>
        <v>4.2999999999999997E-2</v>
      </c>
      <c r="P70" s="55">
        <f t="shared" ref="P70:P80" si="30">ROUND(M70/D70,3)</f>
        <v>0.05</v>
      </c>
      <c r="Q70" s="40">
        <f t="shared" si="23"/>
        <v>0.08</v>
      </c>
      <c r="R70" s="40">
        <f t="shared" si="24"/>
        <v>0.08</v>
      </c>
    </row>
    <row r="71" spans="1:18" x14ac:dyDescent="0.2">
      <c r="A71" s="63" t="s">
        <v>5</v>
      </c>
      <c r="B71" s="50">
        <v>872356</v>
      </c>
      <c r="C71" s="15">
        <f t="shared" si="25"/>
        <v>8.4099999999999994E-2</v>
      </c>
      <c r="D71" s="50">
        <f t="shared" si="26"/>
        <v>2501332</v>
      </c>
      <c r="E71" s="40">
        <f>48715.17+10149.55</f>
        <v>58864.72</v>
      </c>
      <c r="F71" s="40">
        <f>22536.69+5408.86</f>
        <v>27945.55</v>
      </c>
      <c r="G71" s="40">
        <v>5592.03</v>
      </c>
      <c r="H71" s="40">
        <v>-1197</v>
      </c>
      <c r="I71" s="40">
        <f t="shared" si="21"/>
        <v>91205.3</v>
      </c>
      <c r="J71" s="40">
        <v>4560.2700000000004</v>
      </c>
      <c r="K71" s="40">
        <f t="shared" si="22"/>
        <v>95765.57</v>
      </c>
      <c r="L71" s="40">
        <f t="shared" si="27"/>
        <v>91980.55</v>
      </c>
      <c r="M71" s="40">
        <f t="shared" ref="M71:M80" si="31">+M70+E71</f>
        <v>140739.04999999999</v>
      </c>
      <c r="N71" s="56">
        <f t="shared" si="28"/>
        <v>225315.89</v>
      </c>
      <c r="O71" s="55">
        <f t="shared" si="29"/>
        <v>6.7000000000000004E-2</v>
      </c>
      <c r="P71" s="55">
        <f t="shared" si="30"/>
        <v>5.6000000000000001E-2</v>
      </c>
      <c r="Q71" s="40">
        <f t="shared" si="23"/>
        <v>0.11</v>
      </c>
      <c r="R71" s="40">
        <f t="shared" si="24"/>
        <v>0.09</v>
      </c>
    </row>
    <row r="72" spans="1:18" x14ac:dyDescent="0.2">
      <c r="A72" s="63" t="s">
        <v>6</v>
      </c>
      <c r="B72" s="50">
        <v>1108503</v>
      </c>
      <c r="C72" s="15">
        <f t="shared" si="25"/>
        <v>0.10680000000000001</v>
      </c>
      <c r="D72" s="50">
        <f t="shared" si="26"/>
        <v>3609835</v>
      </c>
      <c r="E72" s="40">
        <f>67064.31+5298.14</f>
        <v>72362.45</v>
      </c>
      <c r="F72" s="40">
        <f>23400.22+6872.97</f>
        <v>30273.190000000002</v>
      </c>
      <c r="G72" s="40">
        <v>7105.79</v>
      </c>
      <c r="H72" s="40">
        <v>-1244.4000000000001</v>
      </c>
      <c r="I72" s="40">
        <f t="shared" si="21"/>
        <v>108497.03</v>
      </c>
      <c r="J72" s="40">
        <v>5424.85</v>
      </c>
      <c r="K72" s="40">
        <f t="shared" si="22"/>
        <v>113921.88</v>
      </c>
      <c r="L72" s="40">
        <f t="shared" si="27"/>
        <v>109419.25</v>
      </c>
      <c r="M72" s="40">
        <f t="shared" si="31"/>
        <v>213101.5</v>
      </c>
      <c r="N72" s="56">
        <f t="shared" si="28"/>
        <v>334735.14</v>
      </c>
      <c r="O72" s="55">
        <f t="shared" si="29"/>
        <v>6.5000000000000002E-2</v>
      </c>
      <c r="P72" s="55">
        <f t="shared" si="30"/>
        <v>5.8999999999999997E-2</v>
      </c>
      <c r="Q72" s="40">
        <f t="shared" si="23"/>
        <v>0.1</v>
      </c>
      <c r="R72" s="40">
        <f t="shared" si="24"/>
        <v>0.09</v>
      </c>
    </row>
    <row r="73" spans="1:18" x14ac:dyDescent="0.2">
      <c r="A73" s="63" t="s">
        <v>7</v>
      </c>
      <c r="B73" s="50">
        <v>1024661</v>
      </c>
      <c r="C73" s="15">
        <f t="shared" si="25"/>
        <v>9.8699999999999996E-2</v>
      </c>
      <c r="D73" s="50">
        <f t="shared" si="26"/>
        <v>4634496</v>
      </c>
      <c r="E73" s="40">
        <f>56643.27+2224.62</f>
        <v>58867.89</v>
      </c>
      <c r="F73" s="40">
        <f>24173.4+6353.15</f>
        <v>30526.550000000003</v>
      </c>
      <c r="G73" s="40">
        <v>6568.34</v>
      </c>
      <c r="H73" s="40">
        <f>-1287-5973.44</f>
        <v>-7260.44</v>
      </c>
      <c r="I73" s="40">
        <f t="shared" si="21"/>
        <v>88702.34</v>
      </c>
      <c r="J73" s="40">
        <f>4733.79-298.67</f>
        <v>4435.12</v>
      </c>
      <c r="K73" s="40">
        <f t="shared" si="22"/>
        <v>93137.459999999992</v>
      </c>
      <c r="L73" s="40">
        <f t="shared" si="27"/>
        <v>89456.31</v>
      </c>
      <c r="M73" s="40">
        <f t="shared" si="31"/>
        <v>271969.39</v>
      </c>
      <c r="N73" s="56">
        <f t="shared" si="28"/>
        <v>424191.45</v>
      </c>
      <c r="O73" s="55">
        <f t="shared" si="29"/>
        <v>5.7000000000000002E-2</v>
      </c>
      <c r="P73" s="55">
        <f t="shared" si="30"/>
        <v>5.8999999999999997E-2</v>
      </c>
      <c r="Q73" s="40">
        <f t="shared" si="23"/>
        <v>0.09</v>
      </c>
      <c r="R73" s="40">
        <f t="shared" si="24"/>
        <v>0.09</v>
      </c>
    </row>
    <row r="74" spans="1:18" x14ac:dyDescent="0.2">
      <c r="A74" s="63" t="s">
        <v>8</v>
      </c>
      <c r="B74" s="50">
        <v>946292</v>
      </c>
      <c r="C74" s="15">
        <f t="shared" si="25"/>
        <v>9.1200000000000003E-2</v>
      </c>
      <c r="D74" s="50">
        <f t="shared" si="26"/>
        <v>5580788</v>
      </c>
      <c r="E74" s="40">
        <f>50659.7+5741.63</f>
        <v>56401.329999999994</v>
      </c>
      <c r="F74" s="40">
        <f>24805.67+5867.26</f>
        <v>30672.93</v>
      </c>
      <c r="G74" s="40">
        <v>6065.98</v>
      </c>
      <c r="H74" s="40">
        <v>-1315.2</v>
      </c>
      <c r="I74" s="40">
        <f t="shared" si="21"/>
        <v>91825.04</v>
      </c>
      <c r="J74" s="40">
        <v>4591.25</v>
      </c>
      <c r="K74" s="40">
        <f t="shared" si="22"/>
        <v>96416.29</v>
      </c>
      <c r="L74" s="40">
        <f t="shared" si="27"/>
        <v>92605.55</v>
      </c>
      <c r="M74" s="40">
        <f t="shared" si="31"/>
        <v>328370.72000000003</v>
      </c>
      <c r="N74" s="56">
        <f t="shared" si="28"/>
        <v>516797</v>
      </c>
      <c r="O74" s="55">
        <f t="shared" si="29"/>
        <v>0.06</v>
      </c>
      <c r="P74" s="55">
        <f t="shared" si="30"/>
        <v>5.8999999999999997E-2</v>
      </c>
      <c r="Q74" s="40">
        <f t="shared" si="23"/>
        <v>0.1</v>
      </c>
      <c r="R74" s="40">
        <f t="shared" si="24"/>
        <v>0.09</v>
      </c>
    </row>
    <row r="75" spans="1:18" x14ac:dyDescent="0.2">
      <c r="A75" s="63" t="s">
        <v>9</v>
      </c>
      <c r="B75" s="50">
        <v>873002</v>
      </c>
      <c r="C75" s="15">
        <f t="shared" si="25"/>
        <v>8.4099999999999994E-2</v>
      </c>
      <c r="D75" s="50">
        <f t="shared" si="26"/>
        <v>6453790</v>
      </c>
      <c r="E75" s="40">
        <f>38828.57+4085.66</f>
        <v>42914.229999999996</v>
      </c>
      <c r="F75" s="40">
        <f>21964.23+5412.86</f>
        <v>27377.09</v>
      </c>
      <c r="G75" s="40">
        <v>5596.16</v>
      </c>
      <c r="H75" s="40">
        <v>-1167</v>
      </c>
      <c r="I75" s="40">
        <f t="shared" si="21"/>
        <v>74720.479999999996</v>
      </c>
      <c r="J75" s="40">
        <v>3736.02</v>
      </c>
      <c r="K75" s="40">
        <f t="shared" si="22"/>
        <v>78456.5</v>
      </c>
      <c r="L75" s="40">
        <f t="shared" si="27"/>
        <v>75355.600000000006</v>
      </c>
      <c r="M75" s="40">
        <f t="shared" si="31"/>
        <v>371284.95</v>
      </c>
      <c r="N75" s="56">
        <f t="shared" si="28"/>
        <v>592152.6</v>
      </c>
      <c r="O75" s="55">
        <f t="shared" si="29"/>
        <v>4.9000000000000002E-2</v>
      </c>
      <c r="P75" s="55">
        <f t="shared" si="30"/>
        <v>5.8000000000000003E-2</v>
      </c>
      <c r="Q75" s="40">
        <f t="shared" si="23"/>
        <v>0.09</v>
      </c>
      <c r="R75" s="40">
        <f t="shared" si="24"/>
        <v>0.09</v>
      </c>
    </row>
    <row r="76" spans="1:18" x14ac:dyDescent="0.2">
      <c r="A76" s="63" t="s">
        <v>10</v>
      </c>
      <c r="B76" s="50">
        <v>763365</v>
      </c>
      <c r="C76" s="15">
        <f t="shared" si="25"/>
        <v>7.3599999999999999E-2</v>
      </c>
      <c r="D76" s="50">
        <f t="shared" si="26"/>
        <v>7217155</v>
      </c>
      <c r="E76" s="40">
        <f>37662.26+4687.75</f>
        <v>42350.01</v>
      </c>
      <c r="F76" s="40">
        <f>14463.91+4733.12</f>
        <v>19197.03</v>
      </c>
      <c r="G76" s="40">
        <v>4893.37</v>
      </c>
      <c r="H76" s="40">
        <f>-762.8-8297.42</f>
        <v>-9060.2199999999993</v>
      </c>
      <c r="I76" s="40">
        <f t="shared" si="21"/>
        <v>57380.19</v>
      </c>
      <c r="J76" s="40">
        <f>3283.89-414.87</f>
        <v>2869.02</v>
      </c>
      <c r="K76" s="40">
        <f t="shared" si="22"/>
        <v>60249.21</v>
      </c>
      <c r="L76" s="40">
        <f t="shared" si="27"/>
        <v>57867.92</v>
      </c>
      <c r="M76" s="40">
        <f t="shared" si="31"/>
        <v>413634.96</v>
      </c>
      <c r="N76" s="56">
        <f t="shared" si="28"/>
        <v>650020.52</v>
      </c>
      <c r="O76" s="55">
        <f t="shared" si="29"/>
        <v>5.5E-2</v>
      </c>
      <c r="P76" s="55">
        <f t="shared" si="30"/>
        <v>5.7000000000000002E-2</v>
      </c>
      <c r="Q76" s="40">
        <f t="shared" si="23"/>
        <v>0.08</v>
      </c>
      <c r="R76" s="40">
        <f t="shared" si="24"/>
        <v>0.09</v>
      </c>
    </row>
    <row r="77" spans="1:18" x14ac:dyDescent="0.2">
      <c r="A77" s="63" t="s">
        <v>11</v>
      </c>
      <c r="B77" s="50">
        <v>773616</v>
      </c>
      <c r="C77" s="15">
        <f t="shared" si="25"/>
        <v>7.46E-2</v>
      </c>
      <c r="D77" s="50">
        <f t="shared" si="26"/>
        <v>7990771</v>
      </c>
      <c r="E77" s="40">
        <f>43688.19+4142.3</f>
        <v>47830.490000000005</v>
      </c>
      <c r="F77" s="40">
        <f>14458.01+4796.67</f>
        <v>19254.68</v>
      </c>
      <c r="G77" s="40">
        <v>4959.08</v>
      </c>
      <c r="H77" s="40">
        <v>-760.8</v>
      </c>
      <c r="I77" s="40">
        <f t="shared" si="21"/>
        <v>71283.450000000012</v>
      </c>
      <c r="J77" s="40">
        <v>3564.17</v>
      </c>
      <c r="K77" s="40">
        <f t="shared" si="22"/>
        <v>74847.62000000001</v>
      </c>
      <c r="L77" s="40">
        <f t="shared" si="27"/>
        <v>71889.36</v>
      </c>
      <c r="M77" s="40">
        <f t="shared" si="31"/>
        <v>461465.45</v>
      </c>
      <c r="N77" s="56">
        <f t="shared" si="28"/>
        <v>721909.88</v>
      </c>
      <c r="O77" s="55">
        <f t="shared" si="29"/>
        <v>6.2E-2</v>
      </c>
      <c r="P77" s="55">
        <f t="shared" si="30"/>
        <v>5.8000000000000003E-2</v>
      </c>
      <c r="Q77" s="40">
        <f t="shared" si="23"/>
        <v>0.09</v>
      </c>
      <c r="R77" s="40">
        <f t="shared" si="24"/>
        <v>0.09</v>
      </c>
    </row>
    <row r="78" spans="1:18" x14ac:dyDescent="0.2">
      <c r="A78" s="63" t="s">
        <v>12</v>
      </c>
      <c r="B78" s="50">
        <v>877814</v>
      </c>
      <c r="C78" s="15">
        <f t="shared" si="25"/>
        <v>8.4599999999999995E-2</v>
      </c>
      <c r="D78" s="50">
        <f t="shared" si="26"/>
        <v>8868585</v>
      </c>
      <c r="E78" s="40">
        <f>42212.36+7821.62</f>
        <v>50033.98</v>
      </c>
      <c r="F78" s="40">
        <f>14491.1+5442.7</f>
        <v>19933.8</v>
      </c>
      <c r="G78" s="40">
        <v>5627.01</v>
      </c>
      <c r="H78" s="40">
        <v>-762</v>
      </c>
      <c r="I78" s="40">
        <f t="shared" si="21"/>
        <v>74832.789999999994</v>
      </c>
      <c r="J78" s="40">
        <v>3741.64</v>
      </c>
      <c r="K78" s="40">
        <f t="shared" si="22"/>
        <v>78574.429999999993</v>
      </c>
      <c r="L78" s="40">
        <f t="shared" si="27"/>
        <v>75468.87</v>
      </c>
      <c r="M78" s="40">
        <f t="shared" si="31"/>
        <v>511499.43</v>
      </c>
      <c r="N78" s="56">
        <f t="shared" si="28"/>
        <v>797378.75</v>
      </c>
      <c r="O78" s="55">
        <f t="shared" si="29"/>
        <v>5.7000000000000002E-2</v>
      </c>
      <c r="P78" s="55">
        <f t="shared" si="30"/>
        <v>5.8000000000000003E-2</v>
      </c>
      <c r="Q78" s="40">
        <f t="shared" si="23"/>
        <v>0.09</v>
      </c>
      <c r="R78" s="40">
        <f t="shared" si="24"/>
        <v>0.09</v>
      </c>
    </row>
    <row r="79" spans="1:18" x14ac:dyDescent="0.2">
      <c r="A79" s="63" t="s">
        <v>13</v>
      </c>
      <c r="B79" s="50">
        <v>750396</v>
      </c>
      <c r="C79" s="15">
        <f t="shared" si="25"/>
        <v>7.2300000000000003E-2</v>
      </c>
      <c r="D79" s="50">
        <f t="shared" si="26"/>
        <v>9618981</v>
      </c>
      <c r="E79" s="40">
        <f>39718.13+5866.29</f>
        <v>45584.42</v>
      </c>
      <c r="F79" s="40">
        <f>5057.28+4652.71</f>
        <v>9709.99</v>
      </c>
      <c r="G79" s="40">
        <v>5080.05</v>
      </c>
      <c r="H79" s="40">
        <v>-4191.45</v>
      </c>
      <c r="I79" s="40">
        <f>SUM(E79:H79)</f>
        <v>56183.01</v>
      </c>
      <c r="J79" s="40">
        <f>3018.72-209.57</f>
        <v>2809.1499999999996</v>
      </c>
      <c r="K79" s="40">
        <f t="shared" si="22"/>
        <v>58992.160000000003</v>
      </c>
      <c r="L79" s="40">
        <f t="shared" si="27"/>
        <v>56660.57</v>
      </c>
      <c r="M79" s="40">
        <f t="shared" si="31"/>
        <v>557083.85</v>
      </c>
      <c r="N79" s="56">
        <f t="shared" si="28"/>
        <v>854039.32</v>
      </c>
      <c r="O79" s="55">
        <f t="shared" si="29"/>
        <v>6.0999999999999999E-2</v>
      </c>
      <c r="P79" s="55">
        <f t="shared" si="30"/>
        <v>5.8000000000000003E-2</v>
      </c>
      <c r="Q79" s="40">
        <f t="shared" si="23"/>
        <v>0.08</v>
      </c>
      <c r="R79" s="40">
        <f t="shared" si="24"/>
        <v>0.09</v>
      </c>
    </row>
    <row r="80" spans="1:18" x14ac:dyDescent="0.2">
      <c r="A80" s="63" t="s">
        <v>14</v>
      </c>
      <c r="B80" s="50">
        <v>758028</v>
      </c>
      <c r="C80" s="15">
        <f t="shared" si="25"/>
        <v>7.2999999999999995E-2</v>
      </c>
      <c r="D80" s="50">
        <f t="shared" si="26"/>
        <v>10377009</v>
      </c>
      <c r="E80" s="40">
        <f>28335.35+6075.93</f>
        <v>34411.279999999999</v>
      </c>
      <c r="F80" s="40">
        <f>5122.16+4700.02</f>
        <v>9822.18</v>
      </c>
      <c r="G80" s="40">
        <v>5131.71</v>
      </c>
      <c r="H80" s="40"/>
      <c r="I80" s="40">
        <f>SUM(E80:H80)</f>
        <v>49365.17</v>
      </c>
      <c r="J80" s="40">
        <v>2468.2600000000002</v>
      </c>
      <c r="K80" s="40">
        <f t="shared" si="22"/>
        <v>51833.43</v>
      </c>
      <c r="L80" s="40">
        <f t="shared" si="27"/>
        <v>49784.77</v>
      </c>
      <c r="M80" s="40">
        <f t="shared" si="31"/>
        <v>591495.13</v>
      </c>
      <c r="N80" s="56">
        <f t="shared" si="28"/>
        <v>903824.09</v>
      </c>
      <c r="O80" s="55">
        <f t="shared" si="29"/>
        <v>4.4999999999999998E-2</v>
      </c>
      <c r="P80" s="55">
        <f t="shared" si="30"/>
        <v>5.7000000000000002E-2</v>
      </c>
      <c r="Q80" s="40">
        <f t="shared" si="23"/>
        <v>7.0000000000000007E-2</v>
      </c>
      <c r="R80" s="40">
        <f t="shared" si="24"/>
        <v>0.09</v>
      </c>
    </row>
    <row r="81" spans="1:18" x14ac:dyDescent="0.2">
      <c r="N81" s="57"/>
    </row>
    <row r="82" spans="1:18" x14ac:dyDescent="0.2">
      <c r="A82" s="63" t="s">
        <v>24</v>
      </c>
      <c r="B82" s="50">
        <f>SUM(B69:B80)</f>
        <v>10377009</v>
      </c>
      <c r="C82" s="15">
        <f>SUM(C69:C80)</f>
        <v>1</v>
      </c>
      <c r="E82" s="52">
        <f t="shared" ref="E82:L82" si="32">SUM(E69:E80)</f>
        <v>591495.13</v>
      </c>
      <c r="F82" s="52">
        <f t="shared" si="32"/>
        <v>268204.69999999995</v>
      </c>
      <c r="G82" s="52">
        <f t="shared" si="32"/>
        <v>67061.680000000022</v>
      </c>
      <c r="H82" s="52">
        <f t="shared" si="32"/>
        <v>-30555.17</v>
      </c>
      <c r="I82" s="52">
        <f t="shared" si="32"/>
        <v>896206.34</v>
      </c>
      <c r="J82" s="52">
        <f t="shared" si="32"/>
        <v>44810.33</v>
      </c>
      <c r="K82" s="52">
        <f t="shared" si="32"/>
        <v>941016.67000000016</v>
      </c>
      <c r="L82" s="52">
        <f t="shared" si="32"/>
        <v>903824.09</v>
      </c>
      <c r="M82" s="51"/>
      <c r="N82" s="52"/>
      <c r="Q82" s="51">
        <f>ROUND(L82/B82,2)</f>
        <v>0.09</v>
      </c>
      <c r="R82" s="51"/>
    </row>
    <row r="83" spans="1:18" x14ac:dyDescent="0.2">
      <c r="N83" s="57"/>
    </row>
    <row r="84" spans="1:18" x14ac:dyDescent="0.2">
      <c r="N84" s="57"/>
    </row>
    <row r="85" spans="1:18" x14ac:dyDescent="0.2">
      <c r="N85" s="57"/>
    </row>
    <row r="86" spans="1:18" x14ac:dyDescent="0.2">
      <c r="B86" s="50" t="s">
        <v>60</v>
      </c>
      <c r="C86" s="3"/>
      <c r="D86" s="50" t="s">
        <v>30</v>
      </c>
      <c r="E86" s="37" t="s">
        <v>45</v>
      </c>
      <c r="F86" s="37" t="s">
        <v>46</v>
      </c>
      <c r="G86" s="37" t="s">
        <v>48</v>
      </c>
      <c r="H86" s="37" t="s">
        <v>55</v>
      </c>
      <c r="I86" s="37" t="s">
        <v>21</v>
      </c>
      <c r="K86" s="37" t="s">
        <v>21</v>
      </c>
      <c r="L86" s="37" t="s">
        <v>23</v>
      </c>
      <c r="M86" s="37" t="s">
        <v>30</v>
      </c>
      <c r="N86" s="57" t="s">
        <v>30</v>
      </c>
      <c r="O86" s="54" t="s">
        <v>52</v>
      </c>
      <c r="P86" s="54" t="s">
        <v>53</v>
      </c>
      <c r="Q86" s="37" t="s">
        <v>50</v>
      </c>
      <c r="R86" s="37" t="s">
        <v>51</v>
      </c>
    </row>
    <row r="87" spans="1:18" x14ac:dyDescent="0.2">
      <c r="A87" s="124" t="s">
        <v>57</v>
      </c>
      <c r="B87" s="50" t="s">
        <v>38</v>
      </c>
      <c r="C87" s="3" t="s">
        <v>44</v>
      </c>
      <c r="D87" s="50" t="s">
        <v>38</v>
      </c>
      <c r="E87" s="37" t="s">
        <v>22</v>
      </c>
      <c r="F87" s="37" t="s">
        <v>47</v>
      </c>
      <c r="G87" s="37" t="s">
        <v>49</v>
      </c>
      <c r="H87" s="37" t="s">
        <v>56</v>
      </c>
      <c r="I87" s="37" t="s">
        <v>39</v>
      </c>
      <c r="J87" s="37" t="s">
        <v>40</v>
      </c>
      <c r="K87" s="37" t="s">
        <v>39</v>
      </c>
      <c r="L87" s="37" t="s">
        <v>34</v>
      </c>
      <c r="M87" s="37" t="s">
        <v>52</v>
      </c>
      <c r="N87" s="57" t="s">
        <v>54</v>
      </c>
      <c r="O87" s="54" t="s">
        <v>43</v>
      </c>
      <c r="P87" s="54" t="s">
        <v>41</v>
      </c>
      <c r="Q87" s="37" t="s">
        <v>43</v>
      </c>
      <c r="R87" s="37" t="s">
        <v>41</v>
      </c>
    </row>
    <row r="88" spans="1:18" x14ac:dyDescent="0.2">
      <c r="D88" s="50" t="s">
        <v>31</v>
      </c>
      <c r="N88" s="57"/>
    </row>
    <row r="89" spans="1:18" x14ac:dyDescent="0.2">
      <c r="A89" s="63" t="s">
        <v>3</v>
      </c>
      <c r="B89" s="50">
        <v>830805</v>
      </c>
      <c r="C89" s="15">
        <f>ROUND(B89/$B102,4)</f>
        <v>8.9899999999999994E-2</v>
      </c>
      <c r="D89" s="50">
        <f>+B89</f>
        <v>830805</v>
      </c>
      <c r="E89" s="40">
        <f>13045.48+18675.26</f>
        <v>31720.739999999998</v>
      </c>
      <c r="F89" s="40">
        <f>5247.41+5151.24</f>
        <v>10398.65</v>
      </c>
      <c r="G89" s="40">
        <v>5624.4</v>
      </c>
      <c r="H89" s="40">
        <v>0</v>
      </c>
      <c r="I89" s="40">
        <f t="shared" ref="I89:I98" si="33">SUM(E89:H89)</f>
        <v>47743.79</v>
      </c>
      <c r="J89" s="40">
        <v>2387.19</v>
      </c>
      <c r="K89" s="40">
        <f t="shared" ref="K89:K100" si="34">+I89+J89</f>
        <v>50130.98</v>
      </c>
      <c r="L89" s="40">
        <f>ROUND(I89+(J89*0.17),2)</f>
        <v>48149.61</v>
      </c>
      <c r="M89" s="40">
        <f>+E89</f>
        <v>31720.739999999998</v>
      </c>
      <c r="N89" s="56">
        <f>+L89</f>
        <v>48149.61</v>
      </c>
      <c r="O89" s="55">
        <f>ROUND(E89/B89,3)</f>
        <v>3.7999999999999999E-2</v>
      </c>
      <c r="P89" s="55">
        <f>ROUND(M89/D89,3)</f>
        <v>3.7999999999999999E-2</v>
      </c>
      <c r="Q89" s="40">
        <f t="shared" ref="Q89:Q100" si="35">ROUND(L89/B89,2)</f>
        <v>0.06</v>
      </c>
      <c r="R89" s="40">
        <f t="shared" ref="R89:R100" si="36">ROUND(N89/D89,2)</f>
        <v>0.06</v>
      </c>
    </row>
    <row r="90" spans="1:18" x14ac:dyDescent="0.2">
      <c r="A90" s="63" t="s">
        <v>4</v>
      </c>
      <c r="B90" s="50">
        <v>796834</v>
      </c>
      <c r="C90" s="15">
        <f>ROUND(B90/$B102,4)</f>
        <v>8.6300000000000002E-2</v>
      </c>
      <c r="D90" s="50">
        <f t="shared" ref="D90:D100" si="37">+D89+B90</f>
        <v>1627639</v>
      </c>
      <c r="E90" s="40">
        <f>26580.18+29485.25</f>
        <v>56065.43</v>
      </c>
      <c r="F90" s="40">
        <f>6959.47+4940.62</f>
        <v>11900.09</v>
      </c>
      <c r="G90" s="40">
        <v>5394.42</v>
      </c>
      <c r="H90" s="40">
        <v>0</v>
      </c>
      <c r="I90" s="40">
        <f t="shared" si="33"/>
        <v>73359.94</v>
      </c>
      <c r="J90" s="40">
        <v>3668</v>
      </c>
      <c r="K90" s="40">
        <f t="shared" si="34"/>
        <v>77027.94</v>
      </c>
      <c r="L90" s="40">
        <f t="shared" ref="L90:L100" si="38">ROUND(I90+(J90*0.17),2)</f>
        <v>73983.5</v>
      </c>
      <c r="M90" s="40">
        <f>+M89+E90</f>
        <v>87786.17</v>
      </c>
      <c r="N90" s="56">
        <f t="shared" ref="N90:N100" si="39">+N89+L90</f>
        <v>122133.11</v>
      </c>
      <c r="O90" s="55">
        <f t="shared" ref="O90:O100" si="40">ROUND(E90/B90,3)</f>
        <v>7.0000000000000007E-2</v>
      </c>
      <c r="P90" s="55">
        <f t="shared" ref="P90:P100" si="41">ROUND(M90/D90,3)</f>
        <v>5.3999999999999999E-2</v>
      </c>
      <c r="Q90" s="40">
        <f t="shared" si="35"/>
        <v>0.09</v>
      </c>
      <c r="R90" s="40">
        <f t="shared" si="36"/>
        <v>0.08</v>
      </c>
    </row>
    <row r="91" spans="1:18" x14ac:dyDescent="0.2">
      <c r="A91" s="63" t="s">
        <v>5</v>
      </c>
      <c r="B91" s="50">
        <v>835385</v>
      </c>
      <c r="C91" s="15">
        <f>ROUND(B91/$B102,4)</f>
        <v>9.0399999999999994E-2</v>
      </c>
      <c r="D91" s="50">
        <f t="shared" si="37"/>
        <v>2463024</v>
      </c>
      <c r="E91" s="40">
        <f>17982.54+26386.65</f>
        <v>44369.19</v>
      </c>
      <c r="F91" s="40">
        <f>8344.83+5343.84</f>
        <v>13688.67</v>
      </c>
      <c r="G91" s="40">
        <v>5655.41</v>
      </c>
      <c r="H91" s="40">
        <v>-3767.34</v>
      </c>
      <c r="I91" s="40">
        <f t="shared" si="33"/>
        <v>59945.930000000008</v>
      </c>
      <c r="J91" s="40">
        <f>3185.66-188.37</f>
        <v>2997.29</v>
      </c>
      <c r="K91" s="40">
        <f t="shared" si="34"/>
        <v>62943.220000000008</v>
      </c>
      <c r="L91" s="40">
        <f t="shared" si="38"/>
        <v>60455.47</v>
      </c>
      <c r="M91" s="40">
        <f t="shared" ref="M91:M100" si="42">+M90+E91</f>
        <v>132155.35999999999</v>
      </c>
      <c r="N91" s="56">
        <f t="shared" si="39"/>
        <v>182588.58000000002</v>
      </c>
      <c r="O91" s="55">
        <f t="shared" si="40"/>
        <v>5.2999999999999999E-2</v>
      </c>
      <c r="P91" s="55">
        <f t="shared" si="41"/>
        <v>5.3999999999999999E-2</v>
      </c>
      <c r="Q91" s="40">
        <f t="shared" si="35"/>
        <v>7.0000000000000007E-2</v>
      </c>
      <c r="R91" s="40">
        <f t="shared" si="36"/>
        <v>7.0000000000000007E-2</v>
      </c>
    </row>
    <row r="92" spans="1:18" x14ac:dyDescent="0.2">
      <c r="A92" s="63" t="s">
        <v>6</v>
      </c>
      <c r="B92" s="50">
        <v>1090266</v>
      </c>
      <c r="C92" s="15">
        <f>ROUND(B92/$B102,4)</f>
        <v>0.11799999999999999</v>
      </c>
      <c r="D92" s="50">
        <f t="shared" si="37"/>
        <v>3553290</v>
      </c>
      <c r="E92" s="40">
        <f>26410.05+35036.33</f>
        <v>61446.380000000005</v>
      </c>
      <c r="F92" s="40">
        <f>9491.85+7086.98</f>
        <v>16578.830000000002</v>
      </c>
      <c r="G92" s="40">
        <v>7380.91</v>
      </c>
      <c r="H92" s="40">
        <v>0</v>
      </c>
      <c r="I92" s="40">
        <f t="shared" si="33"/>
        <v>85406.12000000001</v>
      </c>
      <c r="J92" s="40">
        <v>4270.3100000000004</v>
      </c>
      <c r="K92" s="40">
        <f t="shared" si="34"/>
        <v>89676.430000000008</v>
      </c>
      <c r="L92" s="40">
        <f t="shared" si="38"/>
        <v>86132.07</v>
      </c>
      <c r="M92" s="40">
        <f t="shared" si="42"/>
        <v>193601.74</v>
      </c>
      <c r="N92" s="56">
        <f t="shared" si="39"/>
        <v>268720.65000000002</v>
      </c>
      <c r="O92" s="55">
        <f t="shared" si="40"/>
        <v>5.6000000000000001E-2</v>
      </c>
      <c r="P92" s="55">
        <f t="shared" si="41"/>
        <v>5.3999999999999999E-2</v>
      </c>
      <c r="Q92" s="40">
        <f t="shared" si="35"/>
        <v>0.08</v>
      </c>
      <c r="R92" s="40">
        <f t="shared" si="36"/>
        <v>0.08</v>
      </c>
    </row>
    <row r="93" spans="1:18" x14ac:dyDescent="0.2">
      <c r="A93" s="63" t="s">
        <v>7</v>
      </c>
      <c r="B93" s="50">
        <v>1051544</v>
      </c>
      <c r="C93" s="15">
        <f>ROUND(B93/$B102,4)</f>
        <v>0.1138</v>
      </c>
      <c r="D93" s="50">
        <f t="shared" si="37"/>
        <v>4604834</v>
      </c>
      <c r="E93" s="40">
        <f>28595.06+42507.43</f>
        <v>71102.490000000005</v>
      </c>
      <c r="F93" s="40">
        <f>9389.67+6835.28</f>
        <v>16224.95</v>
      </c>
      <c r="G93" s="40">
        <v>7118.76</v>
      </c>
      <c r="H93" s="40">
        <v>0</v>
      </c>
      <c r="I93" s="40">
        <f t="shared" si="33"/>
        <v>94446.2</v>
      </c>
      <c r="J93" s="40">
        <v>4722.3100000000004</v>
      </c>
      <c r="K93" s="40">
        <f t="shared" si="34"/>
        <v>99168.51</v>
      </c>
      <c r="L93" s="40">
        <f t="shared" si="38"/>
        <v>95248.99</v>
      </c>
      <c r="M93" s="40">
        <f t="shared" si="42"/>
        <v>264704.23</v>
      </c>
      <c r="N93" s="56">
        <f t="shared" si="39"/>
        <v>363969.64</v>
      </c>
      <c r="O93" s="55">
        <f t="shared" si="40"/>
        <v>6.8000000000000005E-2</v>
      </c>
      <c r="P93" s="55">
        <f t="shared" si="41"/>
        <v>5.7000000000000002E-2</v>
      </c>
      <c r="Q93" s="40">
        <f t="shared" si="35"/>
        <v>0.09</v>
      </c>
      <c r="R93" s="40">
        <f t="shared" si="36"/>
        <v>0.08</v>
      </c>
    </row>
    <row r="94" spans="1:18" x14ac:dyDescent="0.2">
      <c r="A94" s="63" t="s">
        <v>8</v>
      </c>
      <c r="B94" s="50">
        <v>857404</v>
      </c>
      <c r="C94" s="15">
        <f>ROUND(B94/$B102,4)</f>
        <v>9.2799999999999994E-2</v>
      </c>
      <c r="D94" s="50">
        <f t="shared" si="37"/>
        <v>5462238</v>
      </c>
      <c r="E94" s="40">
        <f>18769.1+31267.98</f>
        <v>50037.08</v>
      </c>
      <c r="F94" s="40">
        <f>7480.86+5573.38</f>
        <v>13054.24</v>
      </c>
      <c r="G94" s="40">
        <v>5804.48</v>
      </c>
      <c r="H94" s="40">
        <v>0</v>
      </c>
      <c r="I94" s="40">
        <f t="shared" si="33"/>
        <v>68895.8</v>
      </c>
      <c r="J94" s="40">
        <v>3444.79</v>
      </c>
      <c r="K94" s="40">
        <f t="shared" si="34"/>
        <v>72340.59</v>
      </c>
      <c r="L94" s="40">
        <f t="shared" si="38"/>
        <v>69481.41</v>
      </c>
      <c r="M94" s="40">
        <f t="shared" si="42"/>
        <v>314741.31</v>
      </c>
      <c r="N94" s="56">
        <f t="shared" si="39"/>
        <v>433451.05000000005</v>
      </c>
      <c r="O94" s="55">
        <f t="shared" si="40"/>
        <v>5.8000000000000003E-2</v>
      </c>
      <c r="P94" s="55">
        <f t="shared" si="41"/>
        <v>5.8000000000000003E-2</v>
      </c>
      <c r="Q94" s="40">
        <f t="shared" si="35"/>
        <v>0.08</v>
      </c>
      <c r="R94" s="40">
        <f t="shared" si="36"/>
        <v>0.08</v>
      </c>
    </row>
    <row r="95" spans="1:18" x14ac:dyDescent="0.2">
      <c r="A95" s="63" t="s">
        <v>9</v>
      </c>
      <c r="B95" s="50">
        <v>623960</v>
      </c>
      <c r="C95" s="15">
        <f>ROUND(B95/$B102,4)</f>
        <v>6.7599999999999993E-2</v>
      </c>
      <c r="D95" s="50">
        <f t="shared" si="37"/>
        <v>6086198</v>
      </c>
      <c r="E95" s="40">
        <f>17355.25+24195.06</f>
        <v>41550.31</v>
      </c>
      <c r="F95" s="40">
        <f>6727.93+4055.99</f>
        <v>10783.92</v>
      </c>
      <c r="G95" s="40">
        <v>4224.1000000000004</v>
      </c>
      <c r="H95" s="40">
        <v>0</v>
      </c>
      <c r="I95" s="40">
        <f t="shared" si="33"/>
        <v>56558.329999999994</v>
      </c>
      <c r="J95" s="40">
        <v>2827.92</v>
      </c>
      <c r="K95" s="40">
        <f t="shared" si="34"/>
        <v>59386.249999999993</v>
      </c>
      <c r="L95" s="40">
        <f t="shared" si="38"/>
        <v>57039.08</v>
      </c>
      <c r="M95" s="40">
        <f t="shared" si="42"/>
        <v>356291.62</v>
      </c>
      <c r="N95" s="56">
        <f t="shared" si="39"/>
        <v>490490.13000000006</v>
      </c>
      <c r="O95" s="55">
        <f t="shared" si="40"/>
        <v>6.7000000000000004E-2</v>
      </c>
      <c r="P95" s="55">
        <f t="shared" si="41"/>
        <v>5.8999999999999997E-2</v>
      </c>
      <c r="Q95" s="40">
        <f t="shared" si="35"/>
        <v>0.09</v>
      </c>
      <c r="R95" s="40">
        <f t="shared" si="36"/>
        <v>0.08</v>
      </c>
    </row>
    <row r="96" spans="1:18" x14ac:dyDescent="0.2">
      <c r="A96" s="63" t="s">
        <v>10</v>
      </c>
      <c r="B96" s="50">
        <v>599283</v>
      </c>
      <c r="C96" s="15">
        <f>ROUND(B96/$B102,4)</f>
        <v>6.4899999999999999E-2</v>
      </c>
      <c r="D96" s="50">
        <f t="shared" si="37"/>
        <v>6685481</v>
      </c>
      <c r="E96" s="40">
        <f>17299.42+21469.17</f>
        <v>38768.589999999997</v>
      </c>
      <c r="F96" s="40">
        <f>4920.77+3895.59</f>
        <v>8816.36</v>
      </c>
      <c r="G96" s="40">
        <v>4057.04</v>
      </c>
      <c r="H96" s="40">
        <v>0</v>
      </c>
      <c r="I96" s="40">
        <f t="shared" si="33"/>
        <v>51641.99</v>
      </c>
      <c r="J96" s="40">
        <v>2582.1</v>
      </c>
      <c r="K96" s="40">
        <f t="shared" si="34"/>
        <v>54224.09</v>
      </c>
      <c r="L96" s="40">
        <f t="shared" si="38"/>
        <v>52080.95</v>
      </c>
      <c r="M96" s="40">
        <f t="shared" si="42"/>
        <v>395060.20999999996</v>
      </c>
      <c r="N96" s="56">
        <f t="shared" si="39"/>
        <v>542571.08000000007</v>
      </c>
      <c r="O96" s="55">
        <f t="shared" si="40"/>
        <v>6.5000000000000002E-2</v>
      </c>
      <c r="P96" s="55">
        <f t="shared" si="41"/>
        <v>5.8999999999999997E-2</v>
      </c>
      <c r="Q96" s="40">
        <f t="shared" si="35"/>
        <v>0.09</v>
      </c>
      <c r="R96" s="40">
        <f t="shared" si="36"/>
        <v>0.08</v>
      </c>
    </row>
    <row r="97" spans="1:18" x14ac:dyDescent="0.2">
      <c r="A97" s="63" t="s">
        <v>11</v>
      </c>
      <c r="B97" s="50">
        <v>625031</v>
      </c>
      <c r="C97" s="15">
        <f>ROUND(B97/$B102,4)</f>
        <v>6.7699999999999996E-2</v>
      </c>
      <c r="D97" s="50">
        <f t="shared" si="37"/>
        <v>7310512</v>
      </c>
      <c r="E97" s="40">
        <f>21495.08+22587.35</f>
        <v>44082.43</v>
      </c>
      <c r="F97" s="40">
        <f>5052.79+4062.95</f>
        <v>9115.74</v>
      </c>
      <c r="G97" s="40">
        <v>4231.3500000000004</v>
      </c>
      <c r="H97" s="40">
        <v>0</v>
      </c>
      <c r="I97" s="40">
        <f t="shared" si="33"/>
        <v>57429.52</v>
      </c>
      <c r="J97" s="40">
        <v>2871.48</v>
      </c>
      <c r="K97" s="40">
        <f t="shared" si="34"/>
        <v>60301</v>
      </c>
      <c r="L97" s="40">
        <f t="shared" si="38"/>
        <v>57917.67</v>
      </c>
      <c r="M97" s="40">
        <f t="shared" si="42"/>
        <v>439142.63999999996</v>
      </c>
      <c r="N97" s="56">
        <f t="shared" si="39"/>
        <v>600488.75000000012</v>
      </c>
      <c r="O97" s="55">
        <f t="shared" si="40"/>
        <v>7.0999999999999994E-2</v>
      </c>
      <c r="P97" s="55">
        <f t="shared" si="41"/>
        <v>0.06</v>
      </c>
      <c r="Q97" s="40">
        <f t="shared" si="35"/>
        <v>0.09</v>
      </c>
      <c r="R97" s="40">
        <f t="shared" si="36"/>
        <v>0.08</v>
      </c>
    </row>
    <row r="98" spans="1:18" x14ac:dyDescent="0.2">
      <c r="A98" s="63" t="s">
        <v>12</v>
      </c>
      <c r="B98" s="50">
        <v>687148</v>
      </c>
      <c r="C98" s="15">
        <f>ROUND(B98/$B102,4)</f>
        <v>7.4399999999999994E-2</v>
      </c>
      <c r="D98" s="50">
        <f t="shared" si="37"/>
        <v>7997660</v>
      </c>
      <c r="E98" s="40">
        <f>24743.62+22822.19</f>
        <v>47565.81</v>
      </c>
      <c r="F98" s="40">
        <f>5045.41+4466.71</f>
        <v>9512.119999999999</v>
      </c>
      <c r="G98" s="40">
        <v>4651.87</v>
      </c>
      <c r="H98" s="40">
        <v>0</v>
      </c>
      <c r="I98" s="40">
        <f t="shared" si="33"/>
        <v>61729.799999999996</v>
      </c>
      <c r="J98" s="40">
        <v>3086.49</v>
      </c>
      <c r="K98" s="40">
        <f t="shared" si="34"/>
        <v>64816.289999999994</v>
      </c>
      <c r="L98" s="40">
        <f t="shared" si="38"/>
        <v>62254.5</v>
      </c>
      <c r="M98" s="40">
        <f t="shared" si="42"/>
        <v>486708.44999999995</v>
      </c>
      <c r="N98" s="56">
        <f t="shared" si="39"/>
        <v>662743.25000000012</v>
      </c>
      <c r="O98" s="55">
        <f t="shared" si="40"/>
        <v>6.9000000000000006E-2</v>
      </c>
      <c r="P98" s="55">
        <f t="shared" si="41"/>
        <v>6.0999999999999999E-2</v>
      </c>
      <c r="Q98" s="40">
        <f t="shared" si="35"/>
        <v>0.09</v>
      </c>
      <c r="R98" s="40">
        <f t="shared" si="36"/>
        <v>0.08</v>
      </c>
    </row>
    <row r="99" spans="1:18" x14ac:dyDescent="0.2">
      <c r="A99" s="63" t="s">
        <v>13</v>
      </c>
      <c r="B99" s="50">
        <v>632474</v>
      </c>
      <c r="C99" s="15">
        <f>ROUND(B99/$B102,4)</f>
        <v>6.8500000000000005E-2</v>
      </c>
      <c r="D99" s="50">
        <f t="shared" si="37"/>
        <v>8630134</v>
      </c>
      <c r="E99" s="40">
        <f>23214.31+20029.27</f>
        <v>43243.58</v>
      </c>
      <c r="F99" s="40">
        <f>4976.13+4111.33</f>
        <v>9087.4599999999991</v>
      </c>
      <c r="G99" s="40">
        <v>4281.74</v>
      </c>
      <c r="H99" s="40">
        <v>0</v>
      </c>
      <c r="I99" s="40">
        <f>SUM(E99:H99)</f>
        <v>56612.78</v>
      </c>
      <c r="J99" s="40">
        <v>2830.64</v>
      </c>
      <c r="K99" s="40">
        <f t="shared" si="34"/>
        <v>59443.42</v>
      </c>
      <c r="L99" s="40">
        <f t="shared" si="38"/>
        <v>57093.99</v>
      </c>
      <c r="M99" s="40">
        <f t="shared" si="42"/>
        <v>529952.02999999991</v>
      </c>
      <c r="N99" s="56">
        <f t="shared" si="39"/>
        <v>719837.24000000011</v>
      </c>
      <c r="O99" s="55">
        <f t="shared" si="40"/>
        <v>6.8000000000000005E-2</v>
      </c>
      <c r="P99" s="55">
        <f t="shared" si="41"/>
        <v>6.0999999999999999E-2</v>
      </c>
      <c r="Q99" s="40">
        <f t="shared" si="35"/>
        <v>0.09</v>
      </c>
      <c r="R99" s="40">
        <f t="shared" si="36"/>
        <v>0.08</v>
      </c>
    </row>
    <row r="100" spans="1:18" x14ac:dyDescent="0.2">
      <c r="A100" s="63" t="s">
        <v>14</v>
      </c>
      <c r="B100" s="50">
        <v>606417</v>
      </c>
      <c r="C100" s="15">
        <f>ROUND(B100/$B102,4)</f>
        <v>6.5699999999999995E-2</v>
      </c>
      <c r="D100" s="50">
        <f t="shared" si="37"/>
        <v>9236551</v>
      </c>
      <c r="E100" s="40">
        <f>19008.67+17301.41</f>
        <v>36310.080000000002</v>
      </c>
      <c r="F100" s="40">
        <f>5052.79+3941.95</f>
        <v>8994.74</v>
      </c>
      <c r="G100" s="40">
        <v>4105.33</v>
      </c>
      <c r="H100" s="40">
        <v>0</v>
      </c>
      <c r="I100" s="40">
        <f>SUM(E100:H100)</f>
        <v>49410.15</v>
      </c>
      <c r="J100" s="40">
        <v>2470.5100000000002</v>
      </c>
      <c r="K100" s="40">
        <f t="shared" si="34"/>
        <v>51880.66</v>
      </c>
      <c r="L100" s="40">
        <f t="shared" si="38"/>
        <v>49830.14</v>
      </c>
      <c r="M100" s="40">
        <f t="shared" si="42"/>
        <v>566262.10999999987</v>
      </c>
      <c r="N100" s="56">
        <f t="shared" si="39"/>
        <v>769667.38000000012</v>
      </c>
      <c r="O100" s="55">
        <f t="shared" si="40"/>
        <v>0.06</v>
      </c>
      <c r="P100" s="55">
        <f t="shared" si="41"/>
        <v>6.0999999999999999E-2</v>
      </c>
      <c r="Q100" s="40">
        <f t="shared" si="35"/>
        <v>0.08</v>
      </c>
      <c r="R100" s="40">
        <f t="shared" si="36"/>
        <v>0.08</v>
      </c>
    </row>
    <row r="101" spans="1:18" x14ac:dyDescent="0.2">
      <c r="N101" s="57"/>
    </row>
    <row r="102" spans="1:18" x14ac:dyDescent="0.2">
      <c r="A102" s="63" t="s">
        <v>24</v>
      </c>
      <c r="B102" s="50">
        <f>SUM(B89:B100)</f>
        <v>9236551</v>
      </c>
      <c r="C102" s="15">
        <f>SUM(C89:C100)</f>
        <v>0.99999999999999989</v>
      </c>
      <c r="E102" s="52">
        <f t="shared" ref="E102:M102" si="43">SUM(E89:E100)</f>
        <v>566262.10999999987</v>
      </c>
      <c r="F102" s="52">
        <f t="shared" si="43"/>
        <v>138155.76999999999</v>
      </c>
      <c r="G102" s="52">
        <f t="shared" si="43"/>
        <v>62529.810000000005</v>
      </c>
      <c r="H102" s="52">
        <f t="shared" si="43"/>
        <v>-3767.34</v>
      </c>
      <c r="I102" s="52">
        <f t="shared" si="43"/>
        <v>763180.35000000021</v>
      </c>
      <c r="J102" s="52">
        <f t="shared" si="43"/>
        <v>38159.030000000006</v>
      </c>
      <c r="K102" s="52">
        <f t="shared" si="43"/>
        <v>801339.38000000012</v>
      </c>
      <c r="L102" s="52">
        <f t="shared" si="43"/>
        <v>769667.38000000012</v>
      </c>
      <c r="M102" s="52">
        <f t="shared" si="43"/>
        <v>3798126.6099999994</v>
      </c>
      <c r="N102" s="52"/>
      <c r="Q102" s="52">
        <f>ROUND(L102/B102,2)</f>
        <v>0.08</v>
      </c>
      <c r="R102" s="52"/>
    </row>
    <row r="103" spans="1:18" x14ac:dyDescent="0.2">
      <c r="N103" s="57"/>
    </row>
    <row r="104" spans="1:18" x14ac:dyDescent="0.2">
      <c r="N104" s="57"/>
    </row>
    <row r="105" spans="1:18" x14ac:dyDescent="0.2">
      <c r="N105" s="57"/>
    </row>
    <row r="106" spans="1:18" x14ac:dyDescent="0.2">
      <c r="B106" s="50" t="s">
        <v>60</v>
      </c>
      <c r="C106" s="3"/>
      <c r="D106" s="50" t="s">
        <v>30</v>
      </c>
      <c r="E106" s="37" t="s">
        <v>45</v>
      </c>
      <c r="F106" s="37" t="s">
        <v>46</v>
      </c>
      <c r="G106" s="37" t="s">
        <v>48</v>
      </c>
      <c r="H106" s="37" t="s">
        <v>55</v>
      </c>
      <c r="I106" s="37" t="s">
        <v>21</v>
      </c>
      <c r="K106" s="37" t="s">
        <v>21</v>
      </c>
      <c r="L106" s="37" t="s">
        <v>23</v>
      </c>
      <c r="M106" s="37" t="s">
        <v>30</v>
      </c>
      <c r="N106" s="57" t="s">
        <v>30</v>
      </c>
      <c r="O106" s="54" t="s">
        <v>52</v>
      </c>
      <c r="P106" s="54" t="s">
        <v>53</v>
      </c>
      <c r="Q106" s="37" t="s">
        <v>50</v>
      </c>
      <c r="R106" s="37" t="s">
        <v>51</v>
      </c>
    </row>
    <row r="107" spans="1:18" x14ac:dyDescent="0.2">
      <c r="A107" s="124" t="s">
        <v>61</v>
      </c>
      <c r="B107" s="50" t="s">
        <v>38</v>
      </c>
      <c r="C107" s="3" t="s">
        <v>44</v>
      </c>
      <c r="D107" s="50" t="s">
        <v>38</v>
      </c>
      <c r="E107" s="37" t="s">
        <v>22</v>
      </c>
      <c r="F107" s="37" t="s">
        <v>47</v>
      </c>
      <c r="G107" s="37" t="s">
        <v>49</v>
      </c>
      <c r="H107" s="37" t="s">
        <v>56</v>
      </c>
      <c r="I107" s="37" t="s">
        <v>39</v>
      </c>
      <c r="J107" s="37" t="s">
        <v>40</v>
      </c>
      <c r="K107" s="37" t="s">
        <v>39</v>
      </c>
      <c r="L107" s="37" t="s">
        <v>34</v>
      </c>
      <c r="M107" s="37" t="s">
        <v>52</v>
      </c>
      <c r="N107" s="57" t="s">
        <v>54</v>
      </c>
      <c r="O107" s="54" t="s">
        <v>43</v>
      </c>
      <c r="P107" s="54" t="s">
        <v>41</v>
      </c>
      <c r="Q107" s="37" t="s">
        <v>43</v>
      </c>
      <c r="R107" s="37" t="s">
        <v>41</v>
      </c>
    </row>
    <row r="108" spans="1:18" x14ac:dyDescent="0.2">
      <c r="D108" s="50" t="s">
        <v>31</v>
      </c>
      <c r="N108" s="57"/>
    </row>
    <row r="109" spans="1:18" x14ac:dyDescent="0.2">
      <c r="A109" s="63" t="s">
        <v>3</v>
      </c>
      <c r="B109" s="50">
        <v>704955</v>
      </c>
      <c r="C109" s="15">
        <f>ROUND(B109/$B122,4)</f>
        <v>8.3099999999999993E-2</v>
      </c>
      <c r="D109" s="50">
        <f>+B109</f>
        <v>704955</v>
      </c>
      <c r="E109" s="40">
        <f>20819.3+27351.36</f>
        <v>48170.66</v>
      </c>
      <c r="F109" s="40">
        <f>6297.93+4582.46</f>
        <v>10880.39</v>
      </c>
      <c r="G109" s="40">
        <v>4772.42</v>
      </c>
      <c r="H109" s="40"/>
      <c r="I109" s="40">
        <f t="shared" ref="I109:I118" si="44">SUM(E109:H109)</f>
        <v>63823.47</v>
      </c>
      <c r="J109" s="40">
        <v>3191.17</v>
      </c>
      <c r="K109" s="40">
        <f t="shared" ref="K109:K120" si="45">+I109+J109</f>
        <v>67014.64</v>
      </c>
      <c r="L109" s="40">
        <f>ROUND(I109+(J109*0.17),2)</f>
        <v>64365.97</v>
      </c>
      <c r="M109" s="40">
        <f>+E109</f>
        <v>48170.66</v>
      </c>
      <c r="N109" s="56">
        <f>+L109</f>
        <v>64365.97</v>
      </c>
      <c r="O109" s="55">
        <f>IF(B109="","",ROUND(E109/B109,3))</f>
        <v>6.8000000000000005E-2</v>
      </c>
      <c r="P109" s="55">
        <f>ROUND(M109/D109,3)</f>
        <v>6.8000000000000005E-2</v>
      </c>
      <c r="Q109" s="40">
        <f>IF(B109="","",ROUND(L109/B109,2))</f>
        <v>0.09</v>
      </c>
      <c r="R109" s="40">
        <f t="shared" ref="R109:R120" si="46">ROUND(N109/D109,2)</f>
        <v>0.09</v>
      </c>
    </row>
    <row r="110" spans="1:18" x14ac:dyDescent="0.2">
      <c r="A110" s="63" t="s">
        <v>4</v>
      </c>
      <c r="B110" s="50">
        <v>641990</v>
      </c>
      <c r="C110" s="15">
        <f>ROUND(B110/$B122,4)</f>
        <v>7.5700000000000003E-2</v>
      </c>
      <c r="D110" s="50">
        <f t="shared" ref="D110:D120" si="47">+D109+B110</f>
        <v>1346945</v>
      </c>
      <c r="E110" s="40">
        <f>23329.11+24086</f>
        <v>47415.11</v>
      </c>
      <c r="F110" s="40">
        <f>7496.34+4338.33</f>
        <v>11834.67</v>
      </c>
      <c r="G110" s="40">
        <v>4346.16</v>
      </c>
      <c r="H110" s="40"/>
      <c r="I110" s="40">
        <f t="shared" si="44"/>
        <v>63595.94</v>
      </c>
      <c r="J110" s="40">
        <v>3179.8</v>
      </c>
      <c r="K110" s="40">
        <f t="shared" si="45"/>
        <v>66775.740000000005</v>
      </c>
      <c r="L110" s="40">
        <f t="shared" ref="L110:L111" si="48">ROUND(I110+(J110*0.17),2)</f>
        <v>64136.51</v>
      </c>
      <c r="M110" s="40">
        <f>+M109+E110</f>
        <v>95585.77</v>
      </c>
      <c r="N110" s="56">
        <f t="shared" ref="N110:N120" si="49">+N109+L110</f>
        <v>128502.48000000001</v>
      </c>
      <c r="O110" s="55">
        <f t="shared" ref="O110:O120" si="50">IF(B110="","",ROUND(E110/B110,3))</f>
        <v>7.3999999999999996E-2</v>
      </c>
      <c r="P110" s="55">
        <f t="shared" ref="P110:P120" si="51">ROUND(M110/D110,3)</f>
        <v>7.0999999999999994E-2</v>
      </c>
      <c r="Q110" s="40">
        <f t="shared" ref="Q110:Q120" si="52">IF(B110="","",ROUND(L110/B110,2))</f>
        <v>0.1</v>
      </c>
      <c r="R110" s="40">
        <f t="shared" si="46"/>
        <v>0.1</v>
      </c>
    </row>
    <row r="111" spans="1:18" x14ac:dyDescent="0.2">
      <c r="A111" s="63" t="s">
        <v>5</v>
      </c>
      <c r="B111" s="50">
        <v>828718</v>
      </c>
      <c r="C111" s="15">
        <f>ROUND(B111/$B122,4)</f>
        <v>9.7699999999999995E-2</v>
      </c>
      <c r="D111" s="50">
        <f t="shared" si="47"/>
        <v>2175663</v>
      </c>
      <c r="E111" s="40">
        <f>36541.15+22493.44</f>
        <v>59034.59</v>
      </c>
      <c r="F111" s="40">
        <f>9395.29+5696.03</f>
        <v>15091.32</v>
      </c>
      <c r="G111" s="40">
        <v>5610.28</v>
      </c>
      <c r="H111" s="40"/>
      <c r="I111" s="40">
        <f t="shared" si="44"/>
        <v>79736.19</v>
      </c>
      <c r="J111" s="40">
        <v>3986.81</v>
      </c>
      <c r="K111" s="40">
        <f t="shared" si="45"/>
        <v>83723</v>
      </c>
      <c r="L111" s="40">
        <f t="shared" si="48"/>
        <v>80413.95</v>
      </c>
      <c r="M111" s="40">
        <f t="shared" ref="M111:M120" si="53">+M110+E111</f>
        <v>154620.35999999999</v>
      </c>
      <c r="N111" s="56">
        <f t="shared" si="49"/>
        <v>208916.43</v>
      </c>
      <c r="O111" s="55">
        <f t="shared" si="50"/>
        <v>7.0999999999999994E-2</v>
      </c>
      <c r="P111" s="55">
        <f t="shared" si="51"/>
        <v>7.0999999999999994E-2</v>
      </c>
      <c r="Q111" s="40">
        <f t="shared" si="52"/>
        <v>0.1</v>
      </c>
      <c r="R111" s="40">
        <f t="shared" si="46"/>
        <v>0.1</v>
      </c>
    </row>
    <row r="112" spans="1:18" x14ac:dyDescent="0.2">
      <c r="A112" s="63" t="s">
        <v>6</v>
      </c>
      <c r="B112" s="50">
        <v>850646</v>
      </c>
      <c r="C112" s="15">
        <f>ROUND(B112/$B122,4)</f>
        <v>0.1003</v>
      </c>
      <c r="D112" s="50">
        <f t="shared" si="47"/>
        <v>3026309</v>
      </c>
      <c r="E112" s="40">
        <f>44590.2+20827.01</f>
        <v>65417.209999999992</v>
      </c>
      <c r="F112" s="40">
        <f>8138.41+5846.74</f>
        <v>13985.15</v>
      </c>
      <c r="G112" s="40">
        <v>5758.73</v>
      </c>
      <c r="H112" s="40"/>
      <c r="I112" s="40">
        <f t="shared" si="44"/>
        <v>85161.089999999982</v>
      </c>
      <c r="J112" s="40">
        <f>1135.48+8118.69</f>
        <v>9254.17</v>
      </c>
      <c r="K112" s="40">
        <f t="shared" si="45"/>
        <v>94415.25999999998</v>
      </c>
      <c r="L112" s="40">
        <f t="shared" ref="L112:L120" si="54">ROUND(I112+(J112*0.145),2)</f>
        <v>86502.94</v>
      </c>
      <c r="M112" s="40">
        <f t="shared" si="53"/>
        <v>220037.56999999998</v>
      </c>
      <c r="N112" s="56">
        <f t="shared" si="49"/>
        <v>295419.37</v>
      </c>
      <c r="O112" s="55">
        <f t="shared" si="50"/>
        <v>7.6999999999999999E-2</v>
      </c>
      <c r="P112" s="55">
        <f t="shared" si="51"/>
        <v>7.2999999999999995E-2</v>
      </c>
      <c r="Q112" s="40">
        <f t="shared" si="52"/>
        <v>0.1</v>
      </c>
      <c r="R112" s="40">
        <f t="shared" si="46"/>
        <v>0.1</v>
      </c>
    </row>
    <row r="113" spans="1:18" x14ac:dyDescent="0.2">
      <c r="A113" s="63" t="s">
        <v>7</v>
      </c>
      <c r="B113" s="50">
        <v>811598</v>
      </c>
      <c r="C113" s="15">
        <f>ROUND(B113/$B122,4)</f>
        <v>9.5699999999999993E-2</v>
      </c>
      <c r="D113" s="50">
        <f t="shared" si="47"/>
        <v>3837907</v>
      </c>
      <c r="E113" s="40">
        <f>43145.18+10566.68</f>
        <v>53711.86</v>
      </c>
      <c r="F113" s="40">
        <f>8161.66+5578.36</f>
        <v>13740.02</v>
      </c>
      <c r="G113" s="40">
        <v>5494.38</v>
      </c>
      <c r="H113" s="40"/>
      <c r="I113" s="40">
        <f t="shared" si="44"/>
        <v>72946.260000000009</v>
      </c>
      <c r="J113" s="40">
        <v>9483.01</v>
      </c>
      <c r="K113" s="40">
        <f t="shared" si="45"/>
        <v>82429.27</v>
      </c>
      <c r="L113" s="40">
        <f t="shared" si="54"/>
        <v>74321.3</v>
      </c>
      <c r="M113" s="40">
        <f t="shared" si="53"/>
        <v>273749.43</v>
      </c>
      <c r="N113" s="56">
        <f t="shared" si="49"/>
        <v>369740.67</v>
      </c>
      <c r="O113" s="55">
        <f t="shared" si="50"/>
        <v>6.6000000000000003E-2</v>
      </c>
      <c r="P113" s="55">
        <f t="shared" si="51"/>
        <v>7.0999999999999994E-2</v>
      </c>
      <c r="Q113" s="40">
        <f t="shared" si="52"/>
        <v>0.09</v>
      </c>
      <c r="R113" s="40">
        <f t="shared" si="46"/>
        <v>0.1</v>
      </c>
    </row>
    <row r="114" spans="1:18" x14ac:dyDescent="0.2">
      <c r="A114" s="63" t="s">
        <v>8</v>
      </c>
      <c r="B114" s="50">
        <v>799274</v>
      </c>
      <c r="C114" s="15">
        <f>ROUND(B114/$B122,4)</f>
        <v>9.4200000000000006E-2</v>
      </c>
      <c r="D114" s="50">
        <f t="shared" si="47"/>
        <v>4637181</v>
      </c>
      <c r="E114" s="40">
        <f>29708.42+8933.52</f>
        <v>38641.94</v>
      </c>
      <c r="F114" s="40">
        <f>9113.26+5493.66</f>
        <v>14606.92</v>
      </c>
      <c r="G114" s="40">
        <v>5410.94</v>
      </c>
      <c r="H114" s="40"/>
      <c r="I114" s="40">
        <f t="shared" si="44"/>
        <v>58659.8</v>
      </c>
      <c r="J114" s="40">
        <v>7625.77</v>
      </c>
      <c r="K114" s="40">
        <f t="shared" si="45"/>
        <v>66285.570000000007</v>
      </c>
      <c r="L114" s="40">
        <f t="shared" si="54"/>
        <v>59765.54</v>
      </c>
      <c r="M114" s="40">
        <f t="shared" si="53"/>
        <v>312391.37</v>
      </c>
      <c r="N114" s="56">
        <f t="shared" si="49"/>
        <v>429506.20999999996</v>
      </c>
      <c r="O114" s="55">
        <f t="shared" si="50"/>
        <v>4.8000000000000001E-2</v>
      </c>
      <c r="P114" s="55">
        <f t="shared" si="51"/>
        <v>6.7000000000000004E-2</v>
      </c>
      <c r="Q114" s="40">
        <f t="shared" si="52"/>
        <v>7.0000000000000007E-2</v>
      </c>
      <c r="R114" s="40">
        <f t="shared" si="46"/>
        <v>0.09</v>
      </c>
    </row>
    <row r="115" spans="1:18" x14ac:dyDescent="0.2">
      <c r="A115" s="63" t="s">
        <v>9</v>
      </c>
      <c r="B115" s="50">
        <v>598053</v>
      </c>
      <c r="C115" s="15">
        <f>ROUND(B115/$B122,4)</f>
        <v>7.0499999999999993E-2</v>
      </c>
      <c r="D115" s="50">
        <f t="shared" si="47"/>
        <v>5235234</v>
      </c>
      <c r="E115" s="40">
        <f>18528.14+15124.32</f>
        <v>33652.46</v>
      </c>
      <c r="F115" s="40">
        <f>6010.76+4110.67</f>
        <v>10121.43</v>
      </c>
      <c r="G115" s="40">
        <v>4048.72</v>
      </c>
      <c r="H115" s="40"/>
      <c r="I115" s="40">
        <f t="shared" si="44"/>
        <v>47822.61</v>
      </c>
      <c r="J115" s="40">
        <v>6216.94</v>
      </c>
      <c r="K115" s="40">
        <f t="shared" si="45"/>
        <v>54039.55</v>
      </c>
      <c r="L115" s="40">
        <f t="shared" si="54"/>
        <v>48724.07</v>
      </c>
      <c r="M115" s="40">
        <f t="shared" si="53"/>
        <v>346043.83</v>
      </c>
      <c r="N115" s="56">
        <f t="shared" si="49"/>
        <v>478230.27999999997</v>
      </c>
      <c r="O115" s="55">
        <f t="shared" si="50"/>
        <v>5.6000000000000001E-2</v>
      </c>
      <c r="P115" s="55">
        <f t="shared" si="51"/>
        <v>6.6000000000000003E-2</v>
      </c>
      <c r="Q115" s="40">
        <f t="shared" si="52"/>
        <v>0.08</v>
      </c>
      <c r="R115" s="40">
        <f t="shared" si="46"/>
        <v>0.09</v>
      </c>
    </row>
    <row r="116" spans="1:18" x14ac:dyDescent="0.2">
      <c r="A116" s="63" t="s">
        <v>10</v>
      </c>
      <c r="B116" s="50">
        <v>589809</v>
      </c>
      <c r="C116" s="15">
        <f>ROUND(B116/$B122,4)</f>
        <v>6.9500000000000006E-2</v>
      </c>
      <c r="D116" s="50">
        <f t="shared" si="47"/>
        <v>5825043</v>
      </c>
      <c r="E116" s="40">
        <f>19198.83+21889.54</f>
        <v>41088.370000000003</v>
      </c>
      <c r="F116" s="40">
        <f>5392.31+4054</f>
        <v>9446.3100000000013</v>
      </c>
      <c r="G116" s="40">
        <v>3992.9</v>
      </c>
      <c r="H116" s="40"/>
      <c r="I116" s="40">
        <f t="shared" si="44"/>
        <v>54527.580000000009</v>
      </c>
      <c r="J116" s="40">
        <v>7088.59</v>
      </c>
      <c r="K116" s="40">
        <f t="shared" si="45"/>
        <v>61616.170000000013</v>
      </c>
      <c r="L116" s="40">
        <f t="shared" si="54"/>
        <v>55555.43</v>
      </c>
      <c r="M116" s="40">
        <f t="shared" si="53"/>
        <v>387132.2</v>
      </c>
      <c r="N116" s="56">
        <f t="shared" si="49"/>
        <v>533785.71</v>
      </c>
      <c r="O116" s="55">
        <f t="shared" si="50"/>
        <v>7.0000000000000007E-2</v>
      </c>
      <c r="P116" s="55">
        <f t="shared" si="51"/>
        <v>6.6000000000000003E-2</v>
      </c>
      <c r="Q116" s="40">
        <f t="shared" si="52"/>
        <v>0.09</v>
      </c>
      <c r="R116" s="40">
        <f t="shared" si="46"/>
        <v>0.09</v>
      </c>
    </row>
    <row r="117" spans="1:18" x14ac:dyDescent="0.2">
      <c r="A117" s="63" t="s">
        <v>11</v>
      </c>
      <c r="B117" s="50">
        <v>648268</v>
      </c>
      <c r="C117" s="15">
        <f>ROUND(B117/$B122,4)</f>
        <v>7.6399999999999996E-2</v>
      </c>
      <c r="D117" s="50">
        <f t="shared" si="47"/>
        <v>6473311</v>
      </c>
      <c r="E117" s="40">
        <f>22241.24+23260.34</f>
        <v>45501.58</v>
      </c>
      <c r="F117" s="40">
        <f>5100.03+4455.79</f>
        <v>9555.82</v>
      </c>
      <c r="G117" s="40">
        <v>4388.66</v>
      </c>
      <c r="H117" s="40"/>
      <c r="I117" s="40">
        <f t="shared" si="44"/>
        <v>59446.06</v>
      </c>
      <c r="J117" s="40">
        <v>7727.99</v>
      </c>
      <c r="K117" s="40">
        <f t="shared" si="45"/>
        <v>67174.05</v>
      </c>
      <c r="L117" s="40">
        <f t="shared" si="54"/>
        <v>60566.62</v>
      </c>
      <c r="M117" s="40">
        <f t="shared" si="53"/>
        <v>432633.78</v>
      </c>
      <c r="N117" s="56">
        <f t="shared" si="49"/>
        <v>594352.32999999996</v>
      </c>
      <c r="O117" s="55">
        <f t="shared" si="50"/>
        <v>7.0000000000000007E-2</v>
      </c>
      <c r="P117" s="55">
        <f t="shared" si="51"/>
        <v>6.7000000000000004E-2</v>
      </c>
      <c r="Q117" s="40">
        <f t="shared" si="52"/>
        <v>0.09</v>
      </c>
      <c r="R117" s="40">
        <f t="shared" si="46"/>
        <v>0.09</v>
      </c>
    </row>
    <row r="118" spans="1:18" x14ac:dyDescent="0.2">
      <c r="A118" s="63" t="s">
        <v>12</v>
      </c>
      <c r="B118" s="50">
        <v>654896</v>
      </c>
      <c r="C118" s="15">
        <f>ROUND(B118/$B122,4)</f>
        <v>7.7200000000000005E-2</v>
      </c>
      <c r="D118" s="50">
        <f t="shared" si="47"/>
        <v>7128207</v>
      </c>
      <c r="E118" s="40">
        <f>20152.41+20259.6</f>
        <v>40412.009999999995</v>
      </c>
      <c r="F118" s="40">
        <f>5328.94+4501.36</f>
        <v>9830.2999999999993</v>
      </c>
      <c r="G118" s="40">
        <v>4433.53</v>
      </c>
      <c r="H118" s="40"/>
      <c r="I118" s="40">
        <f t="shared" si="44"/>
        <v>54675.839999999997</v>
      </c>
      <c r="J118" s="40">
        <v>7107.86</v>
      </c>
      <c r="K118" s="40">
        <f t="shared" si="45"/>
        <v>61783.7</v>
      </c>
      <c r="L118" s="40">
        <f t="shared" si="54"/>
        <v>55706.48</v>
      </c>
      <c r="M118" s="40">
        <f t="shared" si="53"/>
        <v>473045.79000000004</v>
      </c>
      <c r="N118" s="56">
        <f t="shared" si="49"/>
        <v>650058.80999999994</v>
      </c>
      <c r="O118" s="55">
        <f t="shared" si="50"/>
        <v>6.2E-2</v>
      </c>
      <c r="P118" s="55">
        <f t="shared" si="51"/>
        <v>6.6000000000000003E-2</v>
      </c>
      <c r="Q118" s="40">
        <f t="shared" si="52"/>
        <v>0.09</v>
      </c>
      <c r="R118" s="40">
        <f t="shared" si="46"/>
        <v>0.09</v>
      </c>
    </row>
    <row r="119" spans="1:18" x14ac:dyDescent="0.2">
      <c r="A119" s="63" t="s">
        <v>13</v>
      </c>
      <c r="B119" s="50">
        <v>653033</v>
      </c>
      <c r="C119" s="15">
        <f>ROUND(B119/$B122,4)</f>
        <v>7.6999999999999999E-2</v>
      </c>
      <c r="D119" s="50">
        <f t="shared" si="47"/>
        <v>7781240</v>
      </c>
      <c r="E119" s="40">
        <f>22577.13+24785.84</f>
        <v>47362.97</v>
      </c>
      <c r="F119" s="40">
        <f>5354.25+4488.55</f>
        <v>9842.7999999999993</v>
      </c>
      <c r="G119" s="40">
        <v>4420.92</v>
      </c>
      <c r="H119" s="40"/>
      <c r="I119" s="40">
        <f>SUM(E119:H119)</f>
        <v>61626.69</v>
      </c>
      <c r="J119" s="40">
        <v>8011.47</v>
      </c>
      <c r="K119" s="40">
        <f t="shared" si="45"/>
        <v>69638.16</v>
      </c>
      <c r="L119" s="40">
        <f t="shared" si="54"/>
        <v>62788.35</v>
      </c>
      <c r="M119" s="40">
        <f t="shared" si="53"/>
        <v>520408.76</v>
      </c>
      <c r="N119" s="56">
        <f t="shared" si="49"/>
        <v>712847.15999999992</v>
      </c>
      <c r="O119" s="55">
        <f t="shared" si="50"/>
        <v>7.2999999999999995E-2</v>
      </c>
      <c r="P119" s="55">
        <f t="shared" si="51"/>
        <v>6.7000000000000004E-2</v>
      </c>
      <c r="Q119" s="40">
        <f t="shared" si="52"/>
        <v>0.1</v>
      </c>
      <c r="R119" s="40">
        <f t="shared" si="46"/>
        <v>0.09</v>
      </c>
    </row>
    <row r="120" spans="1:18" x14ac:dyDescent="0.2">
      <c r="A120" s="63" t="s">
        <v>14</v>
      </c>
      <c r="B120" s="50">
        <v>702412</v>
      </c>
      <c r="C120" s="15">
        <f>ROUND(B120/$B122,4)</f>
        <v>8.2799999999999999E-2</v>
      </c>
      <c r="D120" s="50">
        <f t="shared" si="47"/>
        <v>8483652</v>
      </c>
      <c r="E120" s="40">
        <f>21773.94+27801.39</f>
        <v>49575.33</v>
      </c>
      <c r="F120" s="40">
        <f>5223.63+4827.93</f>
        <v>10051.560000000001</v>
      </c>
      <c r="G120" s="40">
        <v>4755.21</v>
      </c>
      <c r="H120" s="40"/>
      <c r="I120" s="40">
        <f>SUM(E120:H120)</f>
        <v>64382.1</v>
      </c>
      <c r="J120" s="40">
        <v>8369.67</v>
      </c>
      <c r="K120" s="40">
        <f t="shared" si="45"/>
        <v>72751.77</v>
      </c>
      <c r="L120" s="40">
        <f t="shared" si="54"/>
        <v>65595.7</v>
      </c>
      <c r="M120" s="40">
        <f t="shared" si="53"/>
        <v>569984.09</v>
      </c>
      <c r="N120" s="56">
        <f t="shared" si="49"/>
        <v>778442.85999999987</v>
      </c>
      <c r="O120" s="55">
        <f t="shared" si="50"/>
        <v>7.0999999999999994E-2</v>
      </c>
      <c r="P120" s="55">
        <f t="shared" si="51"/>
        <v>6.7000000000000004E-2</v>
      </c>
      <c r="Q120" s="40">
        <f t="shared" si="52"/>
        <v>0.09</v>
      </c>
      <c r="R120" s="40">
        <f t="shared" si="46"/>
        <v>0.09</v>
      </c>
    </row>
    <row r="121" spans="1:18" x14ac:dyDescent="0.2">
      <c r="N121" s="57"/>
    </row>
    <row r="122" spans="1:18" x14ac:dyDescent="0.2">
      <c r="A122" s="63" t="s">
        <v>24</v>
      </c>
      <c r="B122" s="50">
        <f>SUM(B109:B120)</f>
        <v>8483652</v>
      </c>
      <c r="C122" s="15">
        <f>SUM(C109:C120)</f>
        <v>1.0001</v>
      </c>
      <c r="E122" s="52">
        <f t="shared" ref="E122:M122" si="55">SUM(E109:E120)</f>
        <v>569984.09</v>
      </c>
      <c r="F122" s="52">
        <f t="shared" si="55"/>
        <v>138986.69</v>
      </c>
      <c r="G122" s="52">
        <f t="shared" si="55"/>
        <v>57432.85</v>
      </c>
      <c r="H122" s="52">
        <f t="shared" si="55"/>
        <v>0</v>
      </c>
      <c r="I122" s="52">
        <f t="shared" si="55"/>
        <v>766403.63</v>
      </c>
      <c r="J122" s="52">
        <f t="shared" si="55"/>
        <v>81243.249999999985</v>
      </c>
      <c r="K122" s="52">
        <f t="shared" si="55"/>
        <v>847646.88000000012</v>
      </c>
      <c r="L122" s="52">
        <f t="shared" si="55"/>
        <v>778442.85999999987</v>
      </c>
      <c r="M122" s="52">
        <f t="shared" si="55"/>
        <v>3833803.6100000003</v>
      </c>
      <c r="N122" s="52"/>
      <c r="Q122" s="52">
        <f>ROUND(L122/B122,2)</f>
        <v>0.09</v>
      </c>
      <c r="R122" s="52"/>
    </row>
    <row r="126" spans="1:18" x14ac:dyDescent="0.2">
      <c r="B126" s="50" t="s">
        <v>60</v>
      </c>
      <c r="C126" s="3"/>
      <c r="D126" s="50" t="s">
        <v>30</v>
      </c>
      <c r="E126" s="37" t="s">
        <v>45</v>
      </c>
      <c r="F126" s="37" t="s">
        <v>46</v>
      </c>
      <c r="G126" s="37" t="s">
        <v>48</v>
      </c>
      <c r="H126" s="37" t="s">
        <v>55</v>
      </c>
      <c r="I126" s="37" t="s">
        <v>21</v>
      </c>
      <c r="K126" s="37" t="s">
        <v>21</v>
      </c>
      <c r="L126" s="37" t="s">
        <v>23</v>
      </c>
      <c r="M126" s="37" t="s">
        <v>30</v>
      </c>
      <c r="N126" s="57" t="s">
        <v>30</v>
      </c>
      <c r="O126" s="54" t="s">
        <v>52</v>
      </c>
      <c r="P126" s="54" t="s">
        <v>53</v>
      </c>
      <c r="Q126" s="37" t="s">
        <v>50</v>
      </c>
      <c r="R126" s="37" t="s">
        <v>51</v>
      </c>
    </row>
    <row r="127" spans="1:18" x14ac:dyDescent="0.2">
      <c r="A127" s="124" t="s">
        <v>124</v>
      </c>
      <c r="B127" s="50" t="s">
        <v>38</v>
      </c>
      <c r="C127" s="3" t="s">
        <v>44</v>
      </c>
      <c r="D127" s="50" t="s">
        <v>38</v>
      </c>
      <c r="E127" s="37" t="s">
        <v>22</v>
      </c>
      <c r="F127" s="37" t="s">
        <v>47</v>
      </c>
      <c r="G127" s="37" t="s">
        <v>49</v>
      </c>
      <c r="H127" s="37" t="s">
        <v>56</v>
      </c>
      <c r="I127" s="37" t="s">
        <v>39</v>
      </c>
      <c r="J127" s="37" t="s">
        <v>40</v>
      </c>
      <c r="K127" s="37" t="s">
        <v>39</v>
      </c>
      <c r="L127" s="37" t="s">
        <v>34</v>
      </c>
      <c r="M127" s="37" t="s">
        <v>52</v>
      </c>
      <c r="N127" s="57" t="s">
        <v>54</v>
      </c>
      <c r="O127" s="54" t="s">
        <v>43</v>
      </c>
      <c r="P127" s="54" t="s">
        <v>41</v>
      </c>
      <c r="Q127" s="37" t="s">
        <v>43</v>
      </c>
      <c r="R127" s="37" t="s">
        <v>41</v>
      </c>
    </row>
    <row r="128" spans="1:18" x14ac:dyDescent="0.2">
      <c r="D128" s="50" t="s">
        <v>31</v>
      </c>
      <c r="N128" s="57"/>
    </row>
    <row r="129" spans="1:18" x14ac:dyDescent="0.2">
      <c r="A129" s="63" t="s">
        <v>3</v>
      </c>
      <c r="B129" s="50">
        <v>593647</v>
      </c>
      <c r="C129" s="15">
        <f>ROUND(B129/$B142,4)</f>
        <v>6.9000000000000006E-2</v>
      </c>
      <c r="D129" s="50">
        <f>+B129</f>
        <v>593647</v>
      </c>
      <c r="E129" s="40">
        <f>20053.14+24246.01</f>
        <v>44299.149999999994</v>
      </c>
      <c r="F129" s="40">
        <f>5246.78+4219.11</f>
        <v>9465.89</v>
      </c>
      <c r="G129" s="40">
        <v>4155.53</v>
      </c>
      <c r="H129" s="40"/>
      <c r="I129" s="40">
        <f t="shared" ref="I129:I138" si="56">SUM(E129:H129)</f>
        <v>57920.569999999992</v>
      </c>
      <c r="J129" s="40">
        <v>7529.67</v>
      </c>
      <c r="K129" s="40">
        <f t="shared" ref="K129:K140" si="57">+I129+J129</f>
        <v>65450.239999999991</v>
      </c>
      <c r="L129" s="40">
        <f t="shared" ref="L129:L140" si="58">ROUND(I129+(J129*0.145),2)</f>
        <v>59012.37</v>
      </c>
      <c r="M129" s="40">
        <f>+E129</f>
        <v>44299.149999999994</v>
      </c>
      <c r="N129" s="56">
        <f>+L129</f>
        <v>59012.37</v>
      </c>
      <c r="O129" s="55">
        <f>IF(B129="","",ROUND(E129/B129,3))</f>
        <v>7.4999999999999997E-2</v>
      </c>
      <c r="P129" s="55">
        <f>ROUND(M129/D129,3)</f>
        <v>7.4999999999999997E-2</v>
      </c>
      <c r="Q129" s="40">
        <f>IF(B129="","",ROUND(L129/B129,2))</f>
        <v>0.1</v>
      </c>
      <c r="R129" s="40">
        <f t="shared" ref="R129:R140" si="59">ROUND(N129/D129,2)</f>
        <v>0.1</v>
      </c>
    </row>
    <row r="130" spans="1:18" x14ac:dyDescent="0.2">
      <c r="A130" s="63" t="s">
        <v>4</v>
      </c>
      <c r="B130" s="50">
        <v>763285</v>
      </c>
      <c r="C130" s="15">
        <f>ROUND(B130/$B142,4)</f>
        <v>8.8700000000000001E-2</v>
      </c>
      <c r="D130" s="50">
        <f t="shared" ref="D130:D140" si="60">+D129+B130</f>
        <v>1356932</v>
      </c>
      <c r="E130" s="40">
        <f>20686.08+32762.35</f>
        <v>53448.43</v>
      </c>
      <c r="F130" s="40">
        <f>9211.35+5045.34</f>
        <v>14256.69</v>
      </c>
      <c r="G130" s="40">
        <v>5167.3100000000004</v>
      </c>
      <c r="H130" s="40"/>
      <c r="I130" s="40">
        <f t="shared" si="56"/>
        <v>72872.429999999993</v>
      </c>
      <c r="J130" s="40">
        <v>9473.42</v>
      </c>
      <c r="K130" s="40">
        <f t="shared" si="57"/>
        <v>82345.849999999991</v>
      </c>
      <c r="L130" s="40">
        <f t="shared" si="58"/>
        <v>74246.080000000002</v>
      </c>
      <c r="M130" s="40">
        <f>+M129+E130</f>
        <v>97747.579999999987</v>
      </c>
      <c r="N130" s="56">
        <f t="shared" ref="N130:N140" si="61">+N129+L130</f>
        <v>133258.45000000001</v>
      </c>
      <c r="O130" s="55">
        <f t="shared" ref="O130:O140" si="62">IF(B130="","",ROUND(E130/B130,3))</f>
        <v>7.0000000000000007E-2</v>
      </c>
      <c r="P130" s="55">
        <f t="shared" ref="P130:P140" si="63">ROUND(M130/D130,3)</f>
        <v>7.1999999999999995E-2</v>
      </c>
      <c r="Q130" s="40">
        <f t="shared" ref="Q130:Q140" si="64">IF(B130="","",ROUND(L130/B130,2))</f>
        <v>0.1</v>
      </c>
      <c r="R130" s="40">
        <f t="shared" si="59"/>
        <v>0.1</v>
      </c>
    </row>
    <row r="131" spans="1:18" x14ac:dyDescent="0.2">
      <c r="A131" s="63" t="s">
        <v>5</v>
      </c>
      <c r="B131" s="50">
        <v>712607</v>
      </c>
      <c r="C131" s="15">
        <f>ROUND(B131/$B142,4)</f>
        <v>8.2799999999999999E-2</v>
      </c>
      <c r="D131" s="50">
        <f t="shared" si="60"/>
        <v>2069539</v>
      </c>
      <c r="E131" s="40">
        <f>23701.39+33549.88</f>
        <v>57251.27</v>
      </c>
      <c r="F131" s="40">
        <f>11954.67+4632.2</f>
        <v>16586.87</v>
      </c>
      <c r="G131" s="40">
        <v>4824.2299999999996</v>
      </c>
      <c r="H131" s="40"/>
      <c r="I131" s="40">
        <f t="shared" si="56"/>
        <v>78662.37</v>
      </c>
      <c r="J131" s="40">
        <v>10226.11</v>
      </c>
      <c r="K131" s="40">
        <f t="shared" si="57"/>
        <v>88888.48</v>
      </c>
      <c r="L131" s="40">
        <f t="shared" si="58"/>
        <v>80145.16</v>
      </c>
      <c r="M131" s="40">
        <f t="shared" ref="M131:M140" si="65">+M130+E131</f>
        <v>154998.84999999998</v>
      </c>
      <c r="N131" s="56">
        <f t="shared" si="61"/>
        <v>213403.61000000002</v>
      </c>
      <c r="O131" s="55">
        <f t="shared" si="62"/>
        <v>0.08</v>
      </c>
      <c r="P131" s="55">
        <f t="shared" si="63"/>
        <v>7.4999999999999997E-2</v>
      </c>
      <c r="Q131" s="40">
        <f t="shared" si="64"/>
        <v>0.11</v>
      </c>
      <c r="R131" s="40">
        <f t="shared" si="59"/>
        <v>0.1</v>
      </c>
    </row>
    <row r="132" spans="1:18" x14ac:dyDescent="0.2">
      <c r="A132" s="63" t="s">
        <v>6</v>
      </c>
      <c r="B132" s="50">
        <v>884192</v>
      </c>
      <c r="C132" s="15">
        <f>ROUND(B132/$B142,4)</f>
        <v>0.1027</v>
      </c>
      <c r="D132" s="50">
        <f t="shared" si="60"/>
        <v>2953731</v>
      </c>
      <c r="E132" s="40">
        <f>32971.99+36804.26</f>
        <v>69776.25</v>
      </c>
      <c r="F132" s="40">
        <f>12238.54+5747.5</f>
        <v>17986.04</v>
      </c>
      <c r="G132" s="40">
        <v>5985.83</v>
      </c>
      <c r="H132" s="40"/>
      <c r="I132" s="40">
        <f t="shared" si="56"/>
        <v>93748.12000000001</v>
      </c>
      <c r="J132" s="40">
        <v>12187.26</v>
      </c>
      <c r="K132" s="40">
        <f t="shared" si="57"/>
        <v>105935.38</v>
      </c>
      <c r="L132" s="40">
        <f t="shared" si="58"/>
        <v>95515.27</v>
      </c>
      <c r="M132" s="40">
        <f t="shared" si="65"/>
        <v>224775.09999999998</v>
      </c>
      <c r="N132" s="56">
        <f t="shared" si="61"/>
        <v>308918.88</v>
      </c>
      <c r="O132" s="55">
        <f t="shared" si="62"/>
        <v>7.9000000000000001E-2</v>
      </c>
      <c r="P132" s="55">
        <f t="shared" si="63"/>
        <v>7.5999999999999998E-2</v>
      </c>
      <c r="Q132" s="40">
        <f t="shared" si="64"/>
        <v>0.11</v>
      </c>
      <c r="R132" s="40">
        <f t="shared" si="59"/>
        <v>0.1</v>
      </c>
    </row>
    <row r="133" spans="1:18" x14ac:dyDescent="0.2">
      <c r="A133" s="63" t="s">
        <v>7</v>
      </c>
      <c r="B133" s="50">
        <v>921097</v>
      </c>
      <c r="C133" s="15">
        <f>ROUND(B133/$B142,4)</f>
        <v>0.107</v>
      </c>
      <c r="D133" s="50">
        <f t="shared" si="60"/>
        <v>3874828</v>
      </c>
      <c r="E133" s="40">
        <f>34493.61+28464.51</f>
        <v>62958.119999999995</v>
      </c>
      <c r="F133" s="40">
        <f>11853.19+5987.38</f>
        <v>17840.57</v>
      </c>
      <c r="G133" s="40">
        <v>6235.66</v>
      </c>
      <c r="H133" s="40"/>
      <c r="I133" s="40">
        <f t="shared" si="56"/>
        <v>87034.35</v>
      </c>
      <c r="J133" s="40">
        <v>11314.47</v>
      </c>
      <c r="K133" s="40">
        <f t="shared" si="57"/>
        <v>98348.82</v>
      </c>
      <c r="L133" s="40">
        <f t="shared" si="58"/>
        <v>88674.95</v>
      </c>
      <c r="M133" s="40">
        <f t="shared" si="65"/>
        <v>287733.21999999997</v>
      </c>
      <c r="N133" s="56">
        <f t="shared" si="61"/>
        <v>397593.83</v>
      </c>
      <c r="O133" s="55">
        <f t="shared" si="62"/>
        <v>6.8000000000000005E-2</v>
      </c>
      <c r="P133" s="55">
        <f t="shared" si="63"/>
        <v>7.3999999999999996E-2</v>
      </c>
      <c r="Q133" s="40">
        <f t="shared" si="64"/>
        <v>0.1</v>
      </c>
      <c r="R133" s="40">
        <f t="shared" si="59"/>
        <v>0.1</v>
      </c>
    </row>
    <row r="134" spans="1:18" x14ac:dyDescent="0.2">
      <c r="A134" s="63" t="s">
        <v>8</v>
      </c>
      <c r="B134" s="50">
        <v>747472</v>
      </c>
      <c r="C134" s="15">
        <f>ROUND(B134/$B142,4)</f>
        <v>8.6800000000000002E-2</v>
      </c>
      <c r="D134" s="50">
        <f t="shared" si="60"/>
        <v>4622300</v>
      </c>
      <c r="E134" s="40">
        <f>23206.74+30136.59</f>
        <v>53343.33</v>
      </c>
      <c r="F134" s="40">
        <f>12480.29+4858.81</f>
        <v>17339.100000000002</v>
      </c>
      <c r="G134" s="40">
        <v>5060.25</v>
      </c>
      <c r="H134" s="40"/>
      <c r="I134" s="40">
        <f t="shared" si="56"/>
        <v>75742.680000000008</v>
      </c>
      <c r="J134" s="40">
        <v>9846.5499999999993</v>
      </c>
      <c r="K134" s="40">
        <f t="shared" si="57"/>
        <v>85589.23000000001</v>
      </c>
      <c r="L134" s="40">
        <f t="shared" si="58"/>
        <v>77170.429999999993</v>
      </c>
      <c r="M134" s="40">
        <f t="shared" si="65"/>
        <v>341076.55</v>
      </c>
      <c r="N134" s="56">
        <f t="shared" si="61"/>
        <v>474764.26</v>
      </c>
      <c r="O134" s="55">
        <f t="shared" si="62"/>
        <v>7.0999999999999994E-2</v>
      </c>
      <c r="P134" s="55">
        <f t="shared" si="63"/>
        <v>7.3999999999999996E-2</v>
      </c>
      <c r="Q134" s="40">
        <f t="shared" si="64"/>
        <v>0.1</v>
      </c>
      <c r="R134" s="40">
        <f t="shared" si="59"/>
        <v>0.1</v>
      </c>
    </row>
    <row r="135" spans="1:18" x14ac:dyDescent="0.2">
      <c r="A135" s="63" t="s">
        <v>9</v>
      </c>
      <c r="B135" s="50">
        <v>693087</v>
      </c>
      <c r="C135" s="15">
        <f>ROUND(B135/$B142,4)</f>
        <v>8.0500000000000002E-2</v>
      </c>
      <c r="D135" s="50">
        <f t="shared" si="60"/>
        <v>5315387</v>
      </c>
      <c r="E135" s="40">
        <f>20189.7+28581.75</f>
        <v>48771.45</v>
      </c>
      <c r="F135" s="40">
        <f>10266.55+4505.32</f>
        <v>14771.869999999999</v>
      </c>
      <c r="G135" s="40">
        <v>4692.08</v>
      </c>
      <c r="H135" s="40"/>
      <c r="I135" s="40">
        <f t="shared" si="56"/>
        <v>68235.399999999994</v>
      </c>
      <c r="J135" s="40">
        <v>8870.6</v>
      </c>
      <c r="K135" s="40">
        <f t="shared" si="57"/>
        <v>77106</v>
      </c>
      <c r="L135" s="40">
        <f t="shared" si="58"/>
        <v>69521.64</v>
      </c>
      <c r="M135" s="40">
        <f t="shared" si="65"/>
        <v>389848</v>
      </c>
      <c r="N135" s="56">
        <f t="shared" si="61"/>
        <v>544285.9</v>
      </c>
      <c r="O135" s="55">
        <f t="shared" si="62"/>
        <v>7.0000000000000007E-2</v>
      </c>
      <c r="P135" s="55">
        <f t="shared" si="63"/>
        <v>7.2999999999999995E-2</v>
      </c>
      <c r="Q135" s="40">
        <f t="shared" si="64"/>
        <v>0.1</v>
      </c>
      <c r="R135" s="40">
        <f t="shared" si="59"/>
        <v>0.1</v>
      </c>
    </row>
    <row r="136" spans="1:18" x14ac:dyDescent="0.2">
      <c r="A136" s="63" t="s">
        <v>10</v>
      </c>
      <c r="B136" s="50">
        <v>667427</v>
      </c>
      <c r="C136" s="15">
        <f>ROUND(B136/$B142,4)</f>
        <v>7.7499999999999999E-2</v>
      </c>
      <c r="D136" s="50">
        <f t="shared" si="60"/>
        <v>5982814</v>
      </c>
      <c r="E136" s="40">
        <f>20235.28+26026.25</f>
        <v>46261.53</v>
      </c>
      <c r="F136" s="40">
        <f>6942.82+4338.53</f>
        <v>11281.349999999999</v>
      </c>
      <c r="G136" s="40">
        <v>4518.37</v>
      </c>
      <c r="H136" s="40"/>
      <c r="I136" s="40">
        <f t="shared" si="56"/>
        <v>62061.25</v>
      </c>
      <c r="J136" s="40">
        <v>8067.96</v>
      </c>
      <c r="K136" s="40">
        <f t="shared" si="57"/>
        <v>70129.210000000006</v>
      </c>
      <c r="L136" s="40">
        <f t="shared" si="58"/>
        <v>63231.1</v>
      </c>
      <c r="M136" s="40">
        <f t="shared" si="65"/>
        <v>436109.53</v>
      </c>
      <c r="N136" s="56">
        <f t="shared" si="61"/>
        <v>607517</v>
      </c>
      <c r="O136" s="55">
        <f t="shared" si="62"/>
        <v>6.9000000000000006E-2</v>
      </c>
      <c r="P136" s="55">
        <f t="shared" si="63"/>
        <v>7.2999999999999995E-2</v>
      </c>
      <c r="Q136" s="40">
        <f t="shared" si="64"/>
        <v>0.09</v>
      </c>
      <c r="R136" s="40">
        <f t="shared" si="59"/>
        <v>0.1</v>
      </c>
    </row>
    <row r="137" spans="1:18" x14ac:dyDescent="0.2">
      <c r="A137" s="63" t="s">
        <v>11</v>
      </c>
      <c r="B137" s="50">
        <v>623097</v>
      </c>
      <c r="C137" s="15">
        <f>ROUND(B137/$B142,4)</f>
        <v>7.2400000000000006E-2</v>
      </c>
      <c r="D137" s="50">
        <f t="shared" si="60"/>
        <v>6605911</v>
      </c>
      <c r="E137" s="40">
        <f>15971.28+28323.12</f>
        <v>44294.400000000001</v>
      </c>
      <c r="F137" s="40">
        <f>7069.68+4050.38</f>
        <v>11120.060000000001</v>
      </c>
      <c r="G137" s="40">
        <v>4218.26</v>
      </c>
      <c r="H137" s="40"/>
      <c r="I137" s="40">
        <f t="shared" si="56"/>
        <v>59632.720000000008</v>
      </c>
      <c r="J137" s="40">
        <v>7752.25</v>
      </c>
      <c r="K137" s="40">
        <f t="shared" si="57"/>
        <v>67384.97</v>
      </c>
      <c r="L137" s="40">
        <f t="shared" si="58"/>
        <v>60756.800000000003</v>
      </c>
      <c r="M137" s="40">
        <f t="shared" si="65"/>
        <v>480403.93000000005</v>
      </c>
      <c r="N137" s="56">
        <f t="shared" si="61"/>
        <v>668273.80000000005</v>
      </c>
      <c r="O137" s="55">
        <f t="shared" si="62"/>
        <v>7.0999999999999994E-2</v>
      </c>
      <c r="P137" s="55">
        <f t="shared" si="63"/>
        <v>7.2999999999999995E-2</v>
      </c>
      <c r="Q137" s="40">
        <f t="shared" si="64"/>
        <v>0.1</v>
      </c>
      <c r="R137" s="40">
        <f t="shared" si="59"/>
        <v>0.1</v>
      </c>
    </row>
    <row r="138" spans="1:18" x14ac:dyDescent="0.2">
      <c r="A138" s="63" t="s">
        <v>12</v>
      </c>
      <c r="B138" s="50">
        <v>733399</v>
      </c>
      <c r="C138" s="15">
        <f>ROUND(B138/$B142,4)</f>
        <v>8.5199999999999998E-2</v>
      </c>
      <c r="D138" s="50">
        <f t="shared" si="60"/>
        <v>7339310</v>
      </c>
      <c r="E138" s="40">
        <f>19145.34+32282.06</f>
        <v>51427.4</v>
      </c>
      <c r="F138" s="40">
        <f>7574.27+4767.34</f>
        <v>12341.61</v>
      </c>
      <c r="G138" s="40">
        <v>4964.99</v>
      </c>
      <c r="H138" s="40"/>
      <c r="I138" s="40">
        <f t="shared" si="56"/>
        <v>68734</v>
      </c>
      <c r="J138" s="40">
        <v>8935.42</v>
      </c>
      <c r="K138" s="40">
        <f t="shared" si="57"/>
        <v>77669.42</v>
      </c>
      <c r="L138" s="40">
        <f t="shared" si="58"/>
        <v>70029.64</v>
      </c>
      <c r="M138" s="40">
        <f t="shared" si="65"/>
        <v>531831.33000000007</v>
      </c>
      <c r="N138" s="56">
        <f t="shared" si="61"/>
        <v>738303.44000000006</v>
      </c>
      <c r="O138" s="55">
        <f t="shared" si="62"/>
        <v>7.0000000000000007E-2</v>
      </c>
      <c r="P138" s="55">
        <f t="shared" si="63"/>
        <v>7.1999999999999995E-2</v>
      </c>
      <c r="Q138" s="40">
        <f t="shared" si="64"/>
        <v>0.1</v>
      </c>
      <c r="R138" s="40">
        <f t="shared" si="59"/>
        <v>0.1</v>
      </c>
    </row>
    <row r="139" spans="1:18" x14ac:dyDescent="0.2">
      <c r="A139" s="63" t="s">
        <v>13</v>
      </c>
      <c r="B139" s="50">
        <v>620773</v>
      </c>
      <c r="C139" s="15">
        <f>ROUND(B139/$B142,4)</f>
        <v>7.2099999999999997E-2</v>
      </c>
      <c r="D139" s="50">
        <f t="shared" si="60"/>
        <v>7960083</v>
      </c>
      <c r="E139" s="40">
        <f>14230.57+29497.82</f>
        <v>43728.39</v>
      </c>
      <c r="F139" s="40">
        <f>7610.35+4035.27</f>
        <v>11645.62</v>
      </c>
      <c r="G139" s="40">
        <v>4202.53</v>
      </c>
      <c r="H139" s="40"/>
      <c r="I139" s="40">
        <f>SUM(E139:H139)</f>
        <v>59576.54</v>
      </c>
      <c r="J139" s="40">
        <v>7744.95</v>
      </c>
      <c r="K139" s="40">
        <f t="shared" si="57"/>
        <v>67321.490000000005</v>
      </c>
      <c r="L139" s="40">
        <f t="shared" si="58"/>
        <v>60699.56</v>
      </c>
      <c r="M139" s="40">
        <f t="shared" si="65"/>
        <v>575559.72000000009</v>
      </c>
      <c r="N139" s="56">
        <f t="shared" si="61"/>
        <v>799003</v>
      </c>
      <c r="O139" s="55">
        <f t="shared" si="62"/>
        <v>7.0000000000000007E-2</v>
      </c>
      <c r="P139" s="55">
        <f t="shared" si="63"/>
        <v>7.1999999999999995E-2</v>
      </c>
      <c r="Q139" s="40">
        <f t="shared" si="64"/>
        <v>0.1</v>
      </c>
      <c r="R139" s="40">
        <f t="shared" si="59"/>
        <v>0.1</v>
      </c>
    </row>
    <row r="140" spans="1:18" x14ac:dyDescent="0.2">
      <c r="A140" s="63" t="s">
        <v>14</v>
      </c>
      <c r="B140" s="50">
        <v>647158</v>
      </c>
      <c r="C140" s="15">
        <f>ROUND(B140/$B142,4)</f>
        <v>7.5200000000000003E-2</v>
      </c>
      <c r="D140" s="50">
        <f t="shared" si="60"/>
        <v>8607241</v>
      </c>
      <c r="E140" s="40">
        <f>10894.47+31470.58</f>
        <v>42365.05</v>
      </c>
      <c r="F140" s="40">
        <f>11588.91+4206.78</f>
        <v>15795.689999999999</v>
      </c>
      <c r="G140" s="40">
        <v>4381.1499999999996</v>
      </c>
      <c r="H140" s="40"/>
      <c r="I140" s="40">
        <f>SUM(E140:H140)</f>
        <v>62541.890000000007</v>
      </c>
      <c r="J140" s="40">
        <v>8130.45</v>
      </c>
      <c r="K140" s="40">
        <f t="shared" si="57"/>
        <v>70672.340000000011</v>
      </c>
      <c r="L140" s="40">
        <f t="shared" si="58"/>
        <v>63720.81</v>
      </c>
      <c r="M140" s="40">
        <f t="shared" si="65"/>
        <v>617924.77000000014</v>
      </c>
      <c r="N140" s="56">
        <f t="shared" si="61"/>
        <v>862723.81</v>
      </c>
      <c r="O140" s="55">
        <f t="shared" si="62"/>
        <v>6.5000000000000002E-2</v>
      </c>
      <c r="P140" s="55">
        <f t="shared" si="63"/>
        <v>7.1999999999999995E-2</v>
      </c>
      <c r="Q140" s="40">
        <f t="shared" si="64"/>
        <v>0.1</v>
      </c>
      <c r="R140" s="40">
        <f t="shared" si="59"/>
        <v>0.1</v>
      </c>
    </row>
    <row r="141" spans="1:18" x14ac:dyDescent="0.2">
      <c r="N141" s="57"/>
    </row>
    <row r="142" spans="1:18" x14ac:dyDescent="0.2">
      <c r="A142" s="63" t="s">
        <v>24</v>
      </c>
      <c r="B142" s="50">
        <f>SUM(B129:B140)</f>
        <v>8607241</v>
      </c>
      <c r="C142" s="15">
        <f>SUM(C129:C140)</f>
        <v>0.99990000000000012</v>
      </c>
      <c r="E142" s="52">
        <f t="shared" ref="E142:M142" si="66">SUM(E129:E140)</f>
        <v>617924.77000000014</v>
      </c>
      <c r="F142" s="52">
        <f t="shared" si="66"/>
        <v>170431.35999999999</v>
      </c>
      <c r="G142" s="52">
        <f t="shared" si="66"/>
        <v>58406.19</v>
      </c>
      <c r="H142" s="52">
        <f t="shared" si="66"/>
        <v>0</v>
      </c>
      <c r="I142" s="52">
        <f t="shared" si="66"/>
        <v>846762.32</v>
      </c>
      <c r="J142" s="52">
        <f t="shared" si="66"/>
        <v>110079.11</v>
      </c>
      <c r="K142" s="52">
        <f t="shared" si="66"/>
        <v>956841.42999999993</v>
      </c>
      <c r="L142" s="52">
        <f t="shared" si="66"/>
        <v>862723.81</v>
      </c>
      <c r="M142" s="52">
        <f t="shared" si="66"/>
        <v>4182307.7300000004</v>
      </c>
      <c r="N142" s="52"/>
      <c r="Q142" s="52">
        <f>ROUND(L142/B142,2)</f>
        <v>0.1</v>
      </c>
      <c r="R142" s="52"/>
    </row>
    <row r="144" spans="1:18" x14ac:dyDescent="0.2">
      <c r="A144" s="63" t="s">
        <v>126</v>
      </c>
      <c r="B144" s="50">
        <f>+B78+B79+B80+SUM(B89:B97)</f>
        <v>9696750</v>
      </c>
      <c r="K144" s="40">
        <f>+K78+K79+K80+SUM(K89:K97)</f>
        <v>814599.03</v>
      </c>
    </row>
    <row r="145" spans="1:18" x14ac:dyDescent="0.2">
      <c r="A145" s="63" t="s">
        <v>125</v>
      </c>
      <c r="B145" s="50">
        <f>+B98+B99+B100+SUM(B109:B117)</f>
        <v>8399350</v>
      </c>
      <c r="K145" s="40">
        <f>+K98+K99+K100+SUM(K109:K117)</f>
        <v>819613.62000000011</v>
      </c>
    </row>
    <row r="146" spans="1:18" x14ac:dyDescent="0.2">
      <c r="A146" s="63" t="s">
        <v>129</v>
      </c>
      <c r="B146" s="50">
        <f>+B145-B144</f>
        <v>-1297400</v>
      </c>
      <c r="K146" s="40">
        <f>+K144-K145</f>
        <v>-5014.5900000000838</v>
      </c>
    </row>
    <row r="148" spans="1:18" x14ac:dyDescent="0.2">
      <c r="A148" s="63" t="s">
        <v>127</v>
      </c>
      <c r="B148" s="50">
        <f>SUM(B109:B111)</f>
        <v>2175663</v>
      </c>
    </row>
    <row r="149" spans="1:18" x14ac:dyDescent="0.2">
      <c r="A149" s="63" t="s">
        <v>128</v>
      </c>
      <c r="B149" s="50">
        <f>SUM(B129:B131)</f>
        <v>2069539</v>
      </c>
    </row>
    <row r="150" spans="1:18" x14ac:dyDescent="0.2">
      <c r="A150" s="63" t="s">
        <v>129</v>
      </c>
      <c r="B150" s="50">
        <f>+B149-B148</f>
        <v>-106124</v>
      </c>
    </row>
    <row r="152" spans="1:18" x14ac:dyDescent="0.2">
      <c r="B152" s="50" t="s">
        <v>60</v>
      </c>
      <c r="C152" s="3"/>
      <c r="D152" s="50" t="s">
        <v>30</v>
      </c>
      <c r="E152" s="37" t="s">
        <v>45</v>
      </c>
      <c r="F152" s="37" t="s">
        <v>46</v>
      </c>
      <c r="G152" s="37" t="s">
        <v>48</v>
      </c>
      <c r="H152" s="37" t="s">
        <v>55</v>
      </c>
      <c r="I152" s="37" t="s">
        <v>21</v>
      </c>
      <c r="K152" s="37" t="s">
        <v>21</v>
      </c>
      <c r="L152" s="37" t="s">
        <v>23</v>
      </c>
      <c r="M152" s="37" t="s">
        <v>30</v>
      </c>
      <c r="N152" s="57" t="s">
        <v>30</v>
      </c>
      <c r="O152" s="54" t="s">
        <v>52</v>
      </c>
      <c r="P152" s="54" t="s">
        <v>53</v>
      </c>
      <c r="Q152" s="37" t="s">
        <v>50</v>
      </c>
      <c r="R152" s="37" t="s">
        <v>51</v>
      </c>
    </row>
    <row r="153" spans="1:18" x14ac:dyDescent="0.2">
      <c r="A153" s="124" t="s">
        <v>150</v>
      </c>
      <c r="B153" s="50" t="s">
        <v>38</v>
      </c>
      <c r="C153" s="3" t="s">
        <v>44</v>
      </c>
      <c r="D153" s="50" t="s">
        <v>38</v>
      </c>
      <c r="E153" s="37" t="s">
        <v>22</v>
      </c>
      <c r="F153" s="37" t="s">
        <v>47</v>
      </c>
      <c r="G153" s="37" t="s">
        <v>49</v>
      </c>
      <c r="H153" s="37" t="s">
        <v>56</v>
      </c>
      <c r="I153" s="37" t="s">
        <v>39</v>
      </c>
      <c r="J153" s="37" t="s">
        <v>40</v>
      </c>
      <c r="K153" s="37" t="s">
        <v>39</v>
      </c>
      <c r="L153" s="37" t="s">
        <v>34</v>
      </c>
      <c r="M153" s="37" t="s">
        <v>52</v>
      </c>
      <c r="N153" s="57" t="s">
        <v>54</v>
      </c>
      <c r="O153" s="54" t="s">
        <v>43</v>
      </c>
      <c r="P153" s="54" t="s">
        <v>41</v>
      </c>
      <c r="Q153" s="37" t="s">
        <v>43</v>
      </c>
      <c r="R153" s="37" t="s">
        <v>41</v>
      </c>
    </row>
    <row r="154" spans="1:18" x14ac:dyDescent="0.2">
      <c r="D154" s="50" t="s">
        <v>31</v>
      </c>
      <c r="N154" s="57"/>
    </row>
    <row r="155" spans="1:18" x14ac:dyDescent="0.2">
      <c r="A155" s="63" t="s">
        <v>3</v>
      </c>
      <c r="B155" s="50">
        <v>663508</v>
      </c>
      <c r="C155" s="15">
        <f>ROUND(B155/$B168,4)</f>
        <v>7.5499999999999998E-2</v>
      </c>
      <c r="D155" s="50">
        <f>+B155</f>
        <v>663508</v>
      </c>
      <c r="E155" s="40">
        <f>10688.44+44570.74</f>
        <v>55259.18</v>
      </c>
      <c r="F155" s="40">
        <f>8273.44+4313.05</f>
        <v>12586.490000000002</v>
      </c>
      <c r="G155" s="40">
        <v>4491.83</v>
      </c>
      <c r="H155" s="40"/>
      <c r="I155" s="40">
        <f t="shared" ref="I155:I164" si="67">SUM(E155:H155)</f>
        <v>72337.5</v>
      </c>
      <c r="J155" s="40">
        <v>9403.8799999999992</v>
      </c>
      <c r="K155" s="40">
        <f t="shared" ref="K155:K166" si="68">+I155+J155</f>
        <v>81741.38</v>
      </c>
      <c r="L155" s="40">
        <f t="shared" ref="L155:L163" si="69">ROUND(I155+(J155*0.145),2)</f>
        <v>73701.06</v>
      </c>
      <c r="M155" s="40">
        <f>+E155</f>
        <v>55259.18</v>
      </c>
      <c r="N155" s="56">
        <f>+L155</f>
        <v>73701.06</v>
      </c>
      <c r="O155" s="55">
        <f>IF(B155="","",ROUND(E155/B155,3))</f>
        <v>8.3000000000000004E-2</v>
      </c>
      <c r="P155" s="55">
        <f>ROUND(M155/D155,3)</f>
        <v>8.3000000000000004E-2</v>
      </c>
      <c r="Q155" s="40">
        <f>IF(B155="","",ROUND(L155/B155,2))</f>
        <v>0.11</v>
      </c>
      <c r="R155" s="40">
        <f t="shared" ref="R155:R166" si="70">ROUND(N155/D155,2)</f>
        <v>0.11</v>
      </c>
    </row>
    <row r="156" spans="1:18" x14ac:dyDescent="0.2">
      <c r="A156" s="63" t="s">
        <v>4</v>
      </c>
      <c r="B156" s="50">
        <v>682447</v>
      </c>
      <c r="C156" s="15">
        <f>ROUND(B156/$B168,4)</f>
        <v>7.7600000000000002E-2</v>
      </c>
      <c r="D156" s="50">
        <f t="shared" ref="D156:D166" si="71">+D155+B156</f>
        <v>1345955</v>
      </c>
      <c r="E156" s="40">
        <f>13264.43+41816.03</f>
        <v>55080.46</v>
      </c>
      <c r="F156" s="40">
        <f>11709.56+4478.77</f>
        <v>16188.33</v>
      </c>
      <c r="G156" s="40">
        <v>4777.13</v>
      </c>
      <c r="H156" s="40"/>
      <c r="I156" s="40">
        <f t="shared" si="67"/>
        <v>76045.919999999998</v>
      </c>
      <c r="J156" s="40">
        <v>9885.9699999999993</v>
      </c>
      <c r="K156" s="40">
        <f t="shared" si="68"/>
        <v>85931.89</v>
      </c>
      <c r="L156" s="40">
        <f t="shared" si="69"/>
        <v>77479.39</v>
      </c>
      <c r="M156" s="40">
        <f>+M155+E156</f>
        <v>110339.64</v>
      </c>
      <c r="N156" s="56">
        <f t="shared" ref="N156:N166" si="72">+N155+L156</f>
        <v>151180.45000000001</v>
      </c>
      <c r="O156" s="55">
        <f t="shared" ref="O156:O166" si="73">IF(B156="","",ROUND(E156/B156,3))</f>
        <v>8.1000000000000003E-2</v>
      </c>
      <c r="P156" s="55">
        <f t="shared" ref="P156:P166" si="74">ROUND(M156/D156,3)</f>
        <v>8.2000000000000003E-2</v>
      </c>
      <c r="Q156" s="40">
        <f t="shared" ref="Q156:Q166" si="75">IF(B156="","",ROUND(L156/B156,2))</f>
        <v>0.11</v>
      </c>
      <c r="R156" s="40">
        <f t="shared" si="70"/>
        <v>0.11</v>
      </c>
    </row>
    <row r="157" spans="1:18" x14ac:dyDescent="0.2">
      <c r="A157" s="63" t="s">
        <v>5</v>
      </c>
      <c r="B157" s="50">
        <v>850031</v>
      </c>
      <c r="C157" s="15">
        <f>ROUND(B157/$B168,4)</f>
        <v>9.6699999999999994E-2</v>
      </c>
      <c r="D157" s="50">
        <f t="shared" si="71"/>
        <v>2195986</v>
      </c>
      <c r="E157" s="40">
        <f>19776.21+45767.24</f>
        <v>65543.45</v>
      </c>
      <c r="F157" s="40">
        <f>14394.57+5355.45</f>
        <v>19750.02</v>
      </c>
      <c r="G157" s="40">
        <v>5754.56</v>
      </c>
      <c r="H157" s="40"/>
      <c r="I157" s="40">
        <f t="shared" si="67"/>
        <v>91048.03</v>
      </c>
      <c r="J157" s="40">
        <v>11836.24</v>
      </c>
      <c r="K157" s="40">
        <f t="shared" si="68"/>
        <v>102884.27</v>
      </c>
      <c r="L157" s="40">
        <f t="shared" si="69"/>
        <v>92764.28</v>
      </c>
      <c r="M157" s="40">
        <f t="shared" ref="M157:M166" si="76">+M156+E157</f>
        <v>175883.09</v>
      </c>
      <c r="N157" s="56">
        <f t="shared" si="72"/>
        <v>243944.73</v>
      </c>
      <c r="O157" s="55">
        <f t="shared" si="73"/>
        <v>7.6999999999999999E-2</v>
      </c>
      <c r="P157" s="55">
        <f t="shared" si="74"/>
        <v>0.08</v>
      </c>
      <c r="Q157" s="40">
        <f t="shared" si="75"/>
        <v>0.11</v>
      </c>
      <c r="R157" s="40">
        <f t="shared" si="70"/>
        <v>0.11</v>
      </c>
    </row>
    <row r="158" spans="1:18" x14ac:dyDescent="0.2">
      <c r="A158" s="63" t="s">
        <v>6</v>
      </c>
      <c r="B158" s="50">
        <v>886566</v>
      </c>
      <c r="C158" s="15">
        <f>ROUND(B158/$B168,4)</f>
        <v>0.1008</v>
      </c>
      <c r="D158" s="50">
        <f t="shared" si="71"/>
        <v>3082552</v>
      </c>
      <c r="E158" s="40">
        <f>29030.85+47533.51</f>
        <v>76564.36</v>
      </c>
      <c r="F158" s="40">
        <f>5775.52+13236.05</f>
        <v>19011.57</v>
      </c>
      <c r="G158" s="40">
        <v>6205.96</v>
      </c>
      <c r="H158" s="40"/>
      <c r="I158" s="40">
        <f t="shared" si="67"/>
        <v>101781.89</v>
      </c>
      <c r="J158" s="40">
        <v>13231.65</v>
      </c>
      <c r="K158" s="40">
        <f t="shared" si="68"/>
        <v>115013.54</v>
      </c>
      <c r="L158" s="40">
        <f t="shared" si="69"/>
        <v>103700.48</v>
      </c>
      <c r="M158" s="40">
        <f t="shared" si="76"/>
        <v>252447.45</v>
      </c>
      <c r="N158" s="56">
        <f t="shared" si="72"/>
        <v>347645.21</v>
      </c>
      <c r="O158" s="55">
        <f t="shared" si="73"/>
        <v>8.5999999999999993E-2</v>
      </c>
      <c r="P158" s="55">
        <f t="shared" si="74"/>
        <v>8.2000000000000003E-2</v>
      </c>
      <c r="Q158" s="40">
        <f t="shared" si="75"/>
        <v>0.12</v>
      </c>
      <c r="R158" s="40">
        <f t="shared" si="70"/>
        <v>0.11</v>
      </c>
    </row>
    <row r="159" spans="1:18" x14ac:dyDescent="0.2">
      <c r="A159" s="63" t="s">
        <v>7</v>
      </c>
      <c r="B159" s="50">
        <v>972629</v>
      </c>
      <c r="C159" s="15">
        <f>ROUND(B159/$B168,4)</f>
        <v>0.1106</v>
      </c>
      <c r="D159" s="50">
        <f t="shared" si="71"/>
        <v>4055181</v>
      </c>
      <c r="E159" s="40">
        <f>29208+41450.63</f>
        <v>70658.63</v>
      </c>
      <c r="F159" s="40">
        <f>12722.32+6127.81</f>
        <v>18850.13</v>
      </c>
      <c r="G159" s="40">
        <v>6584.53</v>
      </c>
      <c r="H159" s="40"/>
      <c r="I159" s="40">
        <f t="shared" si="67"/>
        <v>96093.290000000008</v>
      </c>
      <c r="J159" s="40">
        <v>12492.13</v>
      </c>
      <c r="K159" s="40">
        <f t="shared" si="68"/>
        <v>108585.42000000001</v>
      </c>
      <c r="L159" s="40">
        <f t="shared" si="69"/>
        <v>97904.65</v>
      </c>
      <c r="M159" s="40">
        <f t="shared" si="76"/>
        <v>323106.08</v>
      </c>
      <c r="N159" s="56">
        <f t="shared" si="72"/>
        <v>445549.86</v>
      </c>
      <c r="O159" s="55">
        <f t="shared" si="73"/>
        <v>7.2999999999999995E-2</v>
      </c>
      <c r="P159" s="55">
        <f t="shared" si="74"/>
        <v>0.08</v>
      </c>
      <c r="Q159" s="40">
        <f t="shared" si="75"/>
        <v>0.1</v>
      </c>
      <c r="R159" s="40">
        <f t="shared" si="70"/>
        <v>0.11</v>
      </c>
    </row>
    <row r="160" spans="1:18" x14ac:dyDescent="0.2">
      <c r="A160" s="63" t="s">
        <v>8</v>
      </c>
      <c r="B160" s="50">
        <v>798692</v>
      </c>
      <c r="C160" s="15">
        <f>ROUND(B160/$B168,4)</f>
        <v>9.0800000000000006E-2</v>
      </c>
      <c r="D160" s="50">
        <f t="shared" si="71"/>
        <v>4853873</v>
      </c>
      <c r="E160" s="40">
        <f>23485.39+31471.39</f>
        <v>54956.78</v>
      </c>
      <c r="F160" s="40">
        <f>13073.94+5203.09</f>
        <v>18277.03</v>
      </c>
      <c r="G160" s="40">
        <v>5590.85</v>
      </c>
      <c r="H160" s="40"/>
      <c r="I160" s="40">
        <f t="shared" si="67"/>
        <v>78824.66</v>
      </c>
      <c r="J160" s="40">
        <v>10247.209999999999</v>
      </c>
      <c r="K160" s="40">
        <f t="shared" si="68"/>
        <v>89071.87</v>
      </c>
      <c r="L160" s="40">
        <f t="shared" si="69"/>
        <v>80310.509999999995</v>
      </c>
      <c r="M160" s="40">
        <f t="shared" si="76"/>
        <v>378062.86</v>
      </c>
      <c r="N160" s="56">
        <f t="shared" si="72"/>
        <v>525860.37</v>
      </c>
      <c r="O160" s="55">
        <f t="shared" si="73"/>
        <v>6.9000000000000006E-2</v>
      </c>
      <c r="P160" s="55">
        <f t="shared" si="74"/>
        <v>7.8E-2</v>
      </c>
      <c r="Q160" s="40">
        <f t="shared" si="75"/>
        <v>0.1</v>
      </c>
      <c r="R160" s="40">
        <f t="shared" si="70"/>
        <v>0.11</v>
      </c>
    </row>
    <row r="161" spans="1:18" x14ac:dyDescent="0.2">
      <c r="A161" s="63" t="s">
        <v>9</v>
      </c>
      <c r="B161" s="50">
        <v>712990</v>
      </c>
      <c r="C161" s="15">
        <f>ROUND(B161/$B168,4)</f>
        <v>8.1100000000000005E-2</v>
      </c>
      <c r="D161" s="50">
        <f t="shared" si="71"/>
        <v>5566863</v>
      </c>
      <c r="E161" s="40">
        <f>17282.22+34859.95</f>
        <v>52142.17</v>
      </c>
      <c r="F161" s="40">
        <f>9571.85+4492.08</f>
        <v>14063.93</v>
      </c>
      <c r="G161" s="40">
        <v>4826.82</v>
      </c>
      <c r="H161" s="40"/>
      <c r="I161" s="40">
        <f t="shared" si="67"/>
        <v>71032.920000000013</v>
      </c>
      <c r="J161" s="40">
        <v>9234.2800000000007</v>
      </c>
      <c r="K161" s="40">
        <f t="shared" si="68"/>
        <v>80267.200000000012</v>
      </c>
      <c r="L161" s="40">
        <f t="shared" si="69"/>
        <v>72371.89</v>
      </c>
      <c r="M161" s="40">
        <f t="shared" si="76"/>
        <v>430205.02999999997</v>
      </c>
      <c r="N161" s="56">
        <f t="shared" si="72"/>
        <v>598232.26</v>
      </c>
      <c r="O161" s="55">
        <f t="shared" si="73"/>
        <v>7.2999999999999995E-2</v>
      </c>
      <c r="P161" s="55">
        <f t="shared" si="74"/>
        <v>7.6999999999999999E-2</v>
      </c>
      <c r="Q161" s="40">
        <f t="shared" si="75"/>
        <v>0.1</v>
      </c>
      <c r="R161" s="40">
        <f t="shared" si="70"/>
        <v>0.11</v>
      </c>
    </row>
    <row r="162" spans="1:18" x14ac:dyDescent="0.2">
      <c r="A162" s="63" t="s">
        <v>10</v>
      </c>
      <c r="B162" s="50">
        <v>594491</v>
      </c>
      <c r="C162" s="15">
        <f>ROUND(B162/$B168,4)</f>
        <v>6.7599999999999993E-2</v>
      </c>
      <c r="D162" s="50">
        <f t="shared" si="71"/>
        <v>6161354</v>
      </c>
      <c r="E162" s="40">
        <f>15751.29+30308.55</f>
        <v>46059.839999999997</v>
      </c>
      <c r="F162" s="40">
        <f>8908.76+3872.88</f>
        <v>12781.64</v>
      </c>
      <c r="G162" s="40">
        <v>4161.4399999999996</v>
      </c>
      <c r="H162" s="40"/>
      <c r="I162" s="40">
        <f t="shared" si="67"/>
        <v>63002.92</v>
      </c>
      <c r="J162" s="40">
        <v>8190.38</v>
      </c>
      <c r="K162" s="40">
        <f t="shared" si="68"/>
        <v>71193.3</v>
      </c>
      <c r="L162" s="40">
        <f t="shared" si="69"/>
        <v>64190.53</v>
      </c>
      <c r="M162" s="40">
        <f t="shared" si="76"/>
        <v>476264.87</v>
      </c>
      <c r="N162" s="56">
        <f t="shared" si="72"/>
        <v>662422.79</v>
      </c>
      <c r="O162" s="55">
        <f t="shared" si="73"/>
        <v>7.6999999999999999E-2</v>
      </c>
      <c r="P162" s="55">
        <f t="shared" si="74"/>
        <v>7.6999999999999999E-2</v>
      </c>
      <c r="Q162" s="40">
        <f t="shared" si="75"/>
        <v>0.11</v>
      </c>
      <c r="R162" s="40">
        <f t="shared" si="70"/>
        <v>0.11</v>
      </c>
    </row>
    <row r="163" spans="1:18" x14ac:dyDescent="0.2">
      <c r="A163" s="63" t="s">
        <v>11</v>
      </c>
      <c r="B163" s="50">
        <v>631735</v>
      </c>
      <c r="C163" s="15">
        <f>ROUND(B163/$B168,4)</f>
        <v>7.1900000000000006E-2</v>
      </c>
      <c r="D163" s="50">
        <f t="shared" si="71"/>
        <v>6793089</v>
      </c>
      <c r="E163" s="40">
        <f>15606.66+30857.84</f>
        <v>46464.5</v>
      </c>
      <c r="F163" s="40">
        <f>7758.06+3980.17</f>
        <v>11738.23</v>
      </c>
      <c r="G163" s="40">
        <v>4276.7299999999996</v>
      </c>
      <c r="H163" s="40"/>
      <c r="I163" s="40">
        <f t="shared" si="67"/>
        <v>62479.459999999992</v>
      </c>
      <c r="J163" s="40">
        <v>8122.33</v>
      </c>
      <c r="K163" s="40">
        <f t="shared" si="68"/>
        <v>70601.789999999994</v>
      </c>
      <c r="L163" s="40">
        <f t="shared" si="69"/>
        <v>63657.2</v>
      </c>
      <c r="M163" s="40">
        <f t="shared" si="76"/>
        <v>522729.37</v>
      </c>
      <c r="N163" s="56">
        <f t="shared" si="72"/>
        <v>726079.99</v>
      </c>
      <c r="O163" s="55">
        <f t="shared" si="73"/>
        <v>7.3999999999999996E-2</v>
      </c>
      <c r="P163" s="55">
        <f t="shared" si="74"/>
        <v>7.6999999999999999E-2</v>
      </c>
      <c r="Q163" s="40">
        <f t="shared" si="75"/>
        <v>0.1</v>
      </c>
      <c r="R163" s="40">
        <f t="shared" si="70"/>
        <v>0.11</v>
      </c>
    </row>
    <row r="164" spans="1:18" x14ac:dyDescent="0.2">
      <c r="A164" s="63" t="s">
        <v>12</v>
      </c>
      <c r="B164" s="50">
        <v>738114</v>
      </c>
      <c r="C164" s="15">
        <f>ROUND(B164/$B168,4)</f>
        <v>8.4000000000000005E-2</v>
      </c>
      <c r="D164" s="50">
        <f t="shared" si="71"/>
        <v>7531203</v>
      </c>
      <c r="E164" s="40">
        <f>19928.42+30567.99</f>
        <v>50496.41</v>
      </c>
      <c r="F164" s="40">
        <f>8097.79+4650.37</f>
        <v>12748.16</v>
      </c>
      <c r="G164" s="40">
        <v>4996.91</v>
      </c>
      <c r="H164" s="40"/>
      <c r="I164" s="40">
        <f t="shared" si="67"/>
        <v>68241.48000000001</v>
      </c>
      <c r="J164" s="40">
        <v>8871.5</v>
      </c>
      <c r="K164" s="40">
        <f t="shared" si="68"/>
        <v>77112.98000000001</v>
      </c>
      <c r="L164" s="40">
        <f>ROUND(I164+(J164*0.145),2)</f>
        <v>69527.850000000006</v>
      </c>
      <c r="M164" s="40">
        <f t="shared" si="76"/>
        <v>573225.78</v>
      </c>
      <c r="N164" s="56">
        <f t="shared" si="72"/>
        <v>795607.84</v>
      </c>
      <c r="O164" s="55">
        <f t="shared" si="73"/>
        <v>6.8000000000000005E-2</v>
      </c>
      <c r="P164" s="55">
        <f t="shared" si="74"/>
        <v>7.5999999999999998E-2</v>
      </c>
      <c r="Q164" s="40">
        <f t="shared" si="75"/>
        <v>0.09</v>
      </c>
      <c r="R164" s="40">
        <f t="shared" si="70"/>
        <v>0.11</v>
      </c>
    </row>
    <row r="165" spans="1:18" x14ac:dyDescent="0.2">
      <c r="A165" s="63" t="s">
        <v>13</v>
      </c>
      <c r="B165" s="50">
        <v>637916</v>
      </c>
      <c r="C165" s="15">
        <f>ROUND(B165/$B168,4)</f>
        <v>7.2599999999999998E-2</v>
      </c>
      <c r="D165" s="50">
        <f t="shared" si="71"/>
        <v>8169119</v>
      </c>
      <c r="E165" s="40">
        <f>20643.95+32804.88</f>
        <v>53448.83</v>
      </c>
      <c r="F165" s="40">
        <f>8271.52+4019.12</f>
        <v>12290.64</v>
      </c>
      <c r="G165" s="40">
        <v>4318.58</v>
      </c>
      <c r="H165" s="40"/>
      <c r="I165" s="40">
        <f>SUM(E165:H165)</f>
        <v>70058.05</v>
      </c>
      <c r="J165" s="40">
        <v>9107.7000000000007</v>
      </c>
      <c r="K165" s="40">
        <f t="shared" si="68"/>
        <v>79165.75</v>
      </c>
      <c r="L165" s="40">
        <f t="shared" ref="L165:L166" si="77">ROUND(I165+(J165*0.145),2)</f>
        <v>71378.67</v>
      </c>
      <c r="M165" s="40">
        <f t="shared" si="76"/>
        <v>626674.61</v>
      </c>
      <c r="N165" s="56">
        <f t="shared" si="72"/>
        <v>866986.51</v>
      </c>
      <c r="O165" s="55">
        <f t="shared" si="73"/>
        <v>8.4000000000000005E-2</v>
      </c>
      <c r="P165" s="55">
        <f t="shared" si="74"/>
        <v>7.6999999999999999E-2</v>
      </c>
      <c r="Q165" s="40">
        <f t="shared" si="75"/>
        <v>0.11</v>
      </c>
      <c r="R165" s="40">
        <f t="shared" si="70"/>
        <v>0.11</v>
      </c>
    </row>
    <row r="166" spans="1:18" x14ac:dyDescent="0.2">
      <c r="A166" s="63" t="s">
        <v>14</v>
      </c>
      <c r="B166" s="50">
        <v>622575</v>
      </c>
      <c r="C166" s="15">
        <f>ROUND(B166/$B168,4)</f>
        <v>7.0800000000000002E-2</v>
      </c>
      <c r="D166" s="50">
        <f t="shared" si="71"/>
        <v>8791694</v>
      </c>
      <c r="E166" s="40">
        <f>17480.83+28958.83</f>
        <v>46439.66</v>
      </c>
      <c r="F166" s="40">
        <f>7972.06+3922.47</f>
        <v>11894.53</v>
      </c>
      <c r="G166" s="40">
        <v>4214.72</v>
      </c>
      <c r="H166" s="40"/>
      <c r="I166" s="40">
        <f>SUM(E166:H166)</f>
        <v>62548.91</v>
      </c>
      <c r="J166" s="40">
        <v>8131.51</v>
      </c>
      <c r="K166" s="40">
        <f t="shared" si="68"/>
        <v>70680.42</v>
      </c>
      <c r="L166" s="40">
        <f t="shared" si="77"/>
        <v>63727.98</v>
      </c>
      <c r="M166" s="40">
        <f t="shared" si="76"/>
        <v>673114.27</v>
      </c>
      <c r="N166" s="56">
        <f t="shared" si="72"/>
        <v>930714.49</v>
      </c>
      <c r="O166" s="55">
        <f t="shared" si="73"/>
        <v>7.4999999999999997E-2</v>
      </c>
      <c r="P166" s="55">
        <f t="shared" si="74"/>
        <v>7.6999999999999999E-2</v>
      </c>
      <c r="Q166" s="40">
        <f t="shared" si="75"/>
        <v>0.1</v>
      </c>
      <c r="R166" s="40">
        <f t="shared" si="70"/>
        <v>0.11</v>
      </c>
    </row>
    <row r="167" spans="1:18" x14ac:dyDescent="0.2">
      <c r="N167" s="57"/>
    </row>
    <row r="168" spans="1:18" x14ac:dyDescent="0.2">
      <c r="A168" s="63" t="s">
        <v>24</v>
      </c>
      <c r="B168" s="50">
        <f>SUM(B155:B166)</f>
        <v>8791694</v>
      </c>
      <c r="C168" s="15">
        <f>SUM(C155:C166)</f>
        <v>0.99999999999999989</v>
      </c>
      <c r="E168" s="52">
        <f t="shared" ref="E168:M168" si="78">SUM(E155:E166)</f>
        <v>673114.27</v>
      </c>
      <c r="F168" s="52">
        <f t="shared" si="78"/>
        <v>180180.70000000004</v>
      </c>
      <c r="G168" s="52">
        <f t="shared" si="78"/>
        <v>60200.060000000012</v>
      </c>
      <c r="H168" s="52">
        <f t="shared" si="78"/>
        <v>0</v>
      </c>
      <c r="I168" s="52">
        <f t="shared" si="78"/>
        <v>913495.03000000014</v>
      </c>
      <c r="J168" s="52">
        <f t="shared" si="78"/>
        <v>118754.77999999998</v>
      </c>
      <c r="K168" s="52">
        <f t="shared" si="78"/>
        <v>1032249.8100000002</v>
      </c>
      <c r="L168" s="52">
        <f t="shared" si="78"/>
        <v>930714.49</v>
      </c>
      <c r="M168" s="52">
        <f t="shared" si="78"/>
        <v>4597312.2300000004</v>
      </c>
      <c r="N168" s="52"/>
      <c r="Q168" s="52">
        <f>ROUND(L168/B168,2)</f>
        <v>0.11</v>
      </c>
      <c r="R168" s="52"/>
    </row>
    <row r="169" spans="1:18" x14ac:dyDescent="0.2">
      <c r="C169" s="15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Q169" s="52"/>
      <c r="R169" s="52"/>
    </row>
    <row r="170" spans="1:18" x14ac:dyDescent="0.2">
      <c r="C170" s="15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Q170" s="52"/>
      <c r="R170" s="52"/>
    </row>
    <row r="171" spans="1:18" x14ac:dyDescent="0.2">
      <c r="C171" s="15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Q171" s="52"/>
      <c r="R171" s="52"/>
    </row>
    <row r="173" spans="1:18" x14ac:dyDescent="0.2">
      <c r="B173" s="50" t="s">
        <v>60</v>
      </c>
      <c r="C173" s="3"/>
      <c r="D173" s="50" t="s">
        <v>30</v>
      </c>
      <c r="E173" s="37" t="s">
        <v>45</v>
      </c>
      <c r="F173" s="37" t="s">
        <v>46</v>
      </c>
      <c r="G173" s="37" t="s">
        <v>48</v>
      </c>
      <c r="H173" s="37" t="s">
        <v>55</v>
      </c>
      <c r="I173" s="37" t="s">
        <v>21</v>
      </c>
      <c r="K173" s="37" t="s">
        <v>21</v>
      </c>
      <c r="L173" s="37" t="s">
        <v>23</v>
      </c>
      <c r="M173" s="37" t="s">
        <v>30</v>
      </c>
      <c r="N173" s="57" t="s">
        <v>30</v>
      </c>
      <c r="O173" s="54" t="s">
        <v>52</v>
      </c>
      <c r="P173" s="54" t="s">
        <v>53</v>
      </c>
      <c r="Q173" s="37" t="s">
        <v>50</v>
      </c>
      <c r="R173" s="37" t="s">
        <v>51</v>
      </c>
    </row>
    <row r="174" spans="1:18" x14ac:dyDescent="0.2">
      <c r="A174" s="124" t="s">
        <v>151</v>
      </c>
      <c r="B174" s="50" t="s">
        <v>38</v>
      </c>
      <c r="C174" s="3" t="s">
        <v>44</v>
      </c>
      <c r="D174" s="50" t="s">
        <v>38</v>
      </c>
      <c r="E174" s="37" t="s">
        <v>22</v>
      </c>
      <c r="F174" s="37" t="s">
        <v>152</v>
      </c>
      <c r="G174" s="37" t="s">
        <v>49</v>
      </c>
      <c r="H174" s="37" t="s">
        <v>56</v>
      </c>
      <c r="I174" s="37" t="s">
        <v>39</v>
      </c>
      <c r="J174" s="37" t="s">
        <v>40</v>
      </c>
      <c r="K174" s="37" t="s">
        <v>39</v>
      </c>
      <c r="L174" s="37" t="s">
        <v>34</v>
      </c>
      <c r="M174" s="37" t="s">
        <v>52</v>
      </c>
      <c r="N174" s="57" t="s">
        <v>54</v>
      </c>
      <c r="O174" s="54" t="s">
        <v>43</v>
      </c>
      <c r="P174" s="54" t="s">
        <v>41</v>
      </c>
      <c r="Q174" s="37" t="s">
        <v>43</v>
      </c>
      <c r="R174" s="37" t="s">
        <v>41</v>
      </c>
    </row>
    <row r="175" spans="1:18" x14ac:dyDescent="0.2">
      <c r="D175" s="50" t="s">
        <v>31</v>
      </c>
      <c r="N175" s="57"/>
    </row>
    <row r="176" spans="1:18" x14ac:dyDescent="0.2">
      <c r="A176" s="63" t="s">
        <v>3</v>
      </c>
      <c r="C176" s="15">
        <f>ROUND(B176/$B189,4)</f>
        <v>0</v>
      </c>
      <c r="D176" s="50">
        <f>+B176</f>
        <v>0</v>
      </c>
      <c r="E176" s="40"/>
      <c r="F176" s="40"/>
      <c r="G176" s="40"/>
      <c r="H176" s="40"/>
      <c r="I176" s="40">
        <f t="shared" ref="I176:I185" si="79">SUM(E176:H176)</f>
        <v>0</v>
      </c>
      <c r="J176" s="40"/>
      <c r="K176" s="40">
        <f t="shared" ref="K176:K187" si="80">+I176+J176</f>
        <v>0</v>
      </c>
      <c r="L176" s="40">
        <f t="shared" ref="L176:L184" si="81">ROUND(I176+(J176*0.145),2)</f>
        <v>0</v>
      </c>
      <c r="M176" s="40">
        <f>+E176</f>
        <v>0</v>
      </c>
      <c r="N176" s="56">
        <f>+L176</f>
        <v>0</v>
      </c>
      <c r="O176" s="55" t="str">
        <f>IF(B176="","",ROUND(E176/B176,3))</f>
        <v/>
      </c>
      <c r="P176" s="55" t="e">
        <f>ROUND(M176/D176,3)</f>
        <v>#DIV/0!</v>
      </c>
      <c r="Q176" s="40" t="str">
        <f>IF(B176="","",ROUND(L176/B176,2))</f>
        <v/>
      </c>
      <c r="R176" s="40" t="e">
        <f t="shared" ref="R176:R187" si="82">ROUND(N176/D176,2)</f>
        <v>#DIV/0!</v>
      </c>
    </row>
    <row r="177" spans="1:18" x14ac:dyDescent="0.2">
      <c r="A177" s="63" t="s">
        <v>4</v>
      </c>
      <c r="B177" s="50">
        <v>1328061</v>
      </c>
      <c r="C177" s="15">
        <f>ROUND(B177/$B189,4)</f>
        <v>0.15390000000000001</v>
      </c>
      <c r="D177" s="50">
        <f t="shared" ref="D177:D187" si="83">+D176+B177</f>
        <v>1328061</v>
      </c>
      <c r="E177" s="40">
        <f>37476.07+69281.16</f>
        <v>106757.23000000001</v>
      </c>
      <c r="F177" s="40">
        <f>12845.77+8009.03</f>
        <v>20854.8</v>
      </c>
      <c r="G177" s="40">
        <v>8990.74</v>
      </c>
      <c r="H177" s="40"/>
      <c r="I177" s="40">
        <f t="shared" si="79"/>
        <v>136602.77000000002</v>
      </c>
      <c r="J177" s="40">
        <v>17758.580000000002</v>
      </c>
      <c r="K177" s="40">
        <f t="shared" si="80"/>
        <v>154361.35000000003</v>
      </c>
      <c r="L177" s="40">
        <f t="shared" si="81"/>
        <v>139177.76</v>
      </c>
      <c r="M177" s="40">
        <f>+M176+E177</f>
        <v>106757.23000000001</v>
      </c>
      <c r="N177" s="56">
        <f t="shared" ref="N177:N187" si="84">+N176+L177</f>
        <v>139177.76</v>
      </c>
      <c r="O177" s="55">
        <f t="shared" ref="O177:O187" si="85">IF(B177="","",ROUND(E177/B177,3))</f>
        <v>0.08</v>
      </c>
      <c r="P177" s="55">
        <f t="shared" ref="P177:P187" si="86">ROUND(M177/D177,3)</f>
        <v>0.08</v>
      </c>
      <c r="Q177" s="40">
        <f t="shared" ref="Q177:Q187" si="87">IF(B177="","",ROUND(L177/B177,2))</f>
        <v>0.1</v>
      </c>
      <c r="R177" s="40">
        <f t="shared" si="82"/>
        <v>0.1</v>
      </c>
    </row>
    <row r="178" spans="1:18" x14ac:dyDescent="0.2">
      <c r="A178" s="63" t="s">
        <v>5</v>
      </c>
      <c r="B178" s="50">
        <v>733604</v>
      </c>
      <c r="C178" s="15">
        <f>ROUND(B178/$B189,4)</f>
        <v>8.5000000000000006E-2</v>
      </c>
      <c r="D178" s="50">
        <f t="shared" si="83"/>
        <v>2061665</v>
      </c>
      <c r="E178" s="40">
        <f>16700.34+44026.83</f>
        <v>60727.17</v>
      </c>
      <c r="F178" s="40">
        <f>13052.1+4108.44</f>
        <v>17160.54</v>
      </c>
      <c r="G178" s="40">
        <v>4966.37</v>
      </c>
      <c r="H178" s="40"/>
      <c r="I178" s="40">
        <f t="shared" si="79"/>
        <v>82854.079999999987</v>
      </c>
      <c r="J178" s="40">
        <v>10771.29</v>
      </c>
      <c r="K178" s="40">
        <f t="shared" si="80"/>
        <v>93625.37</v>
      </c>
      <c r="L178" s="40">
        <f t="shared" si="81"/>
        <v>84415.92</v>
      </c>
      <c r="M178" s="40">
        <f t="shared" ref="M178:M187" si="88">+M177+E178</f>
        <v>167484.40000000002</v>
      </c>
      <c r="N178" s="56">
        <f t="shared" si="84"/>
        <v>223593.68</v>
      </c>
      <c r="O178" s="55">
        <f t="shared" si="85"/>
        <v>8.3000000000000004E-2</v>
      </c>
      <c r="P178" s="55">
        <f t="shared" si="86"/>
        <v>8.1000000000000003E-2</v>
      </c>
      <c r="Q178" s="40">
        <f t="shared" si="87"/>
        <v>0.12</v>
      </c>
      <c r="R178" s="40">
        <f t="shared" si="82"/>
        <v>0.11</v>
      </c>
    </row>
    <row r="179" spans="1:18" x14ac:dyDescent="0.2">
      <c r="A179" s="63" t="s">
        <v>6</v>
      </c>
      <c r="B179" s="50">
        <v>973229</v>
      </c>
      <c r="C179" s="15">
        <f>ROUND(B179/$B189,4)</f>
        <v>0.1128</v>
      </c>
      <c r="D179" s="50">
        <f t="shared" si="83"/>
        <v>3034894</v>
      </c>
      <c r="E179" s="40">
        <f>32418.31+68714.95</f>
        <v>101133.26</v>
      </c>
      <c r="F179" s="40">
        <f>14262.44+5450.33</f>
        <v>19712.77</v>
      </c>
      <c r="G179" s="40">
        <v>6588.59</v>
      </c>
      <c r="H179" s="40"/>
      <c r="I179" s="40">
        <f t="shared" si="79"/>
        <v>127434.62</v>
      </c>
      <c r="J179" s="40">
        <v>16566.5</v>
      </c>
      <c r="K179" s="40">
        <f t="shared" si="80"/>
        <v>144001.12</v>
      </c>
      <c r="L179" s="40">
        <f t="shared" si="81"/>
        <v>129836.76</v>
      </c>
      <c r="M179" s="40">
        <f t="shared" si="88"/>
        <v>268617.66000000003</v>
      </c>
      <c r="N179" s="56">
        <f t="shared" si="84"/>
        <v>353430.44</v>
      </c>
      <c r="O179" s="55">
        <f t="shared" si="85"/>
        <v>0.104</v>
      </c>
      <c r="P179" s="55">
        <f t="shared" si="86"/>
        <v>8.8999999999999996E-2</v>
      </c>
      <c r="Q179" s="40">
        <f t="shared" si="87"/>
        <v>0.13</v>
      </c>
      <c r="R179" s="40">
        <f t="shared" si="82"/>
        <v>0.12</v>
      </c>
    </row>
    <row r="180" spans="1:18" x14ac:dyDescent="0.2">
      <c r="A180" s="63" t="s">
        <v>7</v>
      </c>
      <c r="B180" s="50">
        <v>794614</v>
      </c>
      <c r="C180" s="15">
        <f>ROUND(B180/$B189,4)</f>
        <v>9.2100000000000001E-2</v>
      </c>
      <c r="D180" s="50">
        <f t="shared" si="83"/>
        <v>3829508</v>
      </c>
      <c r="E180" s="40">
        <f>17801.99+39934.53</f>
        <v>57736.520000000004</v>
      </c>
      <c r="F180" s="40">
        <f>13177.7+4601.39</f>
        <v>17779.09</v>
      </c>
      <c r="G180" s="40">
        <v>5562.3</v>
      </c>
      <c r="H180" s="40"/>
      <c r="I180" s="40">
        <f t="shared" si="79"/>
        <v>81077.91</v>
      </c>
      <c r="J180" s="40">
        <v>10540.13</v>
      </c>
      <c r="K180" s="40">
        <f t="shared" si="80"/>
        <v>91618.040000000008</v>
      </c>
      <c r="L180" s="40">
        <f t="shared" si="81"/>
        <v>82606.23</v>
      </c>
      <c r="M180" s="40">
        <f t="shared" si="88"/>
        <v>326354.18000000005</v>
      </c>
      <c r="N180" s="56">
        <f t="shared" si="84"/>
        <v>436036.67</v>
      </c>
      <c r="O180" s="55">
        <f t="shared" si="85"/>
        <v>7.2999999999999995E-2</v>
      </c>
      <c r="P180" s="55">
        <f t="shared" si="86"/>
        <v>8.5000000000000006E-2</v>
      </c>
      <c r="Q180" s="40">
        <f t="shared" si="87"/>
        <v>0.1</v>
      </c>
      <c r="R180" s="40">
        <f t="shared" si="82"/>
        <v>0.11</v>
      </c>
    </row>
    <row r="181" spans="1:18" x14ac:dyDescent="0.2">
      <c r="A181" s="63" t="s">
        <v>8</v>
      </c>
      <c r="B181" s="50">
        <v>831944</v>
      </c>
      <c r="C181" s="15">
        <f>ROUND(B181/$B189,4)</f>
        <v>9.64E-2</v>
      </c>
      <c r="D181" s="50">
        <f t="shared" si="83"/>
        <v>4661452</v>
      </c>
      <c r="E181" s="40">
        <f>21147.94+58849.79</f>
        <v>79997.73</v>
      </c>
      <c r="F181" s="40">
        <f>13015.01+4659.13</f>
        <v>17674.14</v>
      </c>
      <c r="G181" s="40">
        <v>5632.11</v>
      </c>
      <c r="H181" s="40"/>
      <c r="I181" s="40">
        <f t="shared" si="79"/>
        <v>103303.98</v>
      </c>
      <c r="J181" s="40">
        <v>13429.52</v>
      </c>
      <c r="K181" s="40">
        <f t="shared" si="80"/>
        <v>116733.5</v>
      </c>
      <c r="L181" s="40">
        <f t="shared" si="81"/>
        <v>105251.26</v>
      </c>
      <c r="M181" s="40">
        <f t="shared" si="88"/>
        <v>406351.91000000003</v>
      </c>
      <c r="N181" s="56">
        <f t="shared" si="84"/>
        <v>541287.92999999993</v>
      </c>
      <c r="O181" s="55">
        <f t="shared" si="85"/>
        <v>9.6000000000000002E-2</v>
      </c>
      <c r="P181" s="55">
        <f t="shared" si="86"/>
        <v>8.6999999999999994E-2</v>
      </c>
      <c r="Q181" s="40">
        <f t="shared" si="87"/>
        <v>0.13</v>
      </c>
      <c r="R181" s="40">
        <f t="shared" si="82"/>
        <v>0.12</v>
      </c>
    </row>
    <row r="182" spans="1:18" x14ac:dyDescent="0.2">
      <c r="A182" s="63" t="s">
        <v>9</v>
      </c>
      <c r="B182" s="50">
        <v>688267</v>
      </c>
      <c r="C182" s="15">
        <f>ROUND(B182/$B189,4)</f>
        <v>7.9799999999999996E-2</v>
      </c>
      <c r="D182" s="50">
        <f t="shared" si="83"/>
        <v>5349719</v>
      </c>
      <c r="E182" s="40">
        <f>14946.67+44930.73</f>
        <v>59877.4</v>
      </c>
      <c r="F182" s="40">
        <f>11242.3+3854.54</f>
        <v>15096.84</v>
      </c>
      <c r="G182" s="40">
        <v>4659.4399999999996</v>
      </c>
      <c r="H182" s="40"/>
      <c r="I182" s="40">
        <f t="shared" si="79"/>
        <v>79633.680000000008</v>
      </c>
      <c r="J182" s="40">
        <v>10352.379999999999</v>
      </c>
      <c r="K182" s="40">
        <f t="shared" si="80"/>
        <v>89986.060000000012</v>
      </c>
      <c r="L182" s="40">
        <f t="shared" si="81"/>
        <v>81134.78</v>
      </c>
      <c r="M182" s="40">
        <f t="shared" si="88"/>
        <v>466229.31000000006</v>
      </c>
      <c r="N182" s="56">
        <f t="shared" si="84"/>
        <v>622422.71</v>
      </c>
      <c r="O182" s="55">
        <f t="shared" si="85"/>
        <v>8.6999999999999994E-2</v>
      </c>
      <c r="P182" s="55">
        <f t="shared" si="86"/>
        <v>8.6999999999999994E-2</v>
      </c>
      <c r="Q182" s="40">
        <f t="shared" si="87"/>
        <v>0.12</v>
      </c>
      <c r="R182" s="40">
        <f t="shared" si="82"/>
        <v>0.12</v>
      </c>
    </row>
    <row r="183" spans="1:18" x14ac:dyDescent="0.2">
      <c r="A183" s="63" t="s">
        <v>10</v>
      </c>
      <c r="B183" s="50">
        <v>606474</v>
      </c>
      <c r="C183" s="15">
        <f>ROUND(B183/$B189,4)</f>
        <v>7.0300000000000001E-2</v>
      </c>
      <c r="D183" s="50">
        <f t="shared" si="83"/>
        <v>5956193</v>
      </c>
      <c r="E183" s="40">
        <f>9391.78+36782.11</f>
        <v>46173.89</v>
      </c>
      <c r="F183" s="40">
        <f>7826.99+3396.51</f>
        <v>11223.5</v>
      </c>
      <c r="G183" s="40">
        <v>4105.7299999999996</v>
      </c>
      <c r="H183" s="40"/>
      <c r="I183" s="40">
        <f t="shared" si="79"/>
        <v>61503.119999999995</v>
      </c>
      <c r="J183" s="40">
        <v>7995.41</v>
      </c>
      <c r="K183" s="40">
        <f t="shared" si="80"/>
        <v>69498.53</v>
      </c>
      <c r="L183" s="40">
        <f t="shared" si="81"/>
        <v>62662.45</v>
      </c>
      <c r="M183" s="40">
        <f t="shared" si="88"/>
        <v>512403.20000000007</v>
      </c>
      <c r="N183" s="56">
        <f t="shared" si="84"/>
        <v>685085.15999999992</v>
      </c>
      <c r="O183" s="55">
        <f t="shared" si="85"/>
        <v>7.5999999999999998E-2</v>
      </c>
      <c r="P183" s="55">
        <f t="shared" si="86"/>
        <v>8.5999999999999993E-2</v>
      </c>
      <c r="Q183" s="40">
        <f t="shared" si="87"/>
        <v>0.1</v>
      </c>
      <c r="R183" s="40">
        <f t="shared" si="82"/>
        <v>0.12</v>
      </c>
    </row>
    <row r="184" spans="1:18" x14ac:dyDescent="0.2">
      <c r="A184" s="63" t="s">
        <v>11</v>
      </c>
      <c r="B184" s="50">
        <v>625415</v>
      </c>
      <c r="C184" s="15">
        <f>ROUND(B184/$B189,4)</f>
        <v>7.2499999999999995E-2</v>
      </c>
      <c r="D184" s="50">
        <f t="shared" si="83"/>
        <v>6581608</v>
      </c>
      <c r="E184" s="40">
        <f>19008.75+44606.62</f>
        <v>63615.37</v>
      </c>
      <c r="F184" s="40">
        <f>8025.83+3502.58</f>
        <v>11528.41</v>
      </c>
      <c r="G184" s="40">
        <v>4233.95</v>
      </c>
      <c r="H184" s="40"/>
      <c r="I184" s="40">
        <f t="shared" si="79"/>
        <v>79377.73</v>
      </c>
      <c r="J184" s="40">
        <v>10319.1</v>
      </c>
      <c r="K184" s="40">
        <f t="shared" si="80"/>
        <v>89696.83</v>
      </c>
      <c r="L184" s="40">
        <f t="shared" si="81"/>
        <v>80874</v>
      </c>
      <c r="M184" s="40">
        <f t="shared" si="88"/>
        <v>576018.57000000007</v>
      </c>
      <c r="N184" s="56">
        <f t="shared" si="84"/>
        <v>765959.15999999992</v>
      </c>
      <c r="O184" s="55">
        <f t="shared" si="85"/>
        <v>0.10199999999999999</v>
      </c>
      <c r="P184" s="55">
        <f t="shared" si="86"/>
        <v>8.7999999999999995E-2</v>
      </c>
      <c r="Q184" s="40">
        <f t="shared" si="87"/>
        <v>0.13</v>
      </c>
      <c r="R184" s="40">
        <f t="shared" si="82"/>
        <v>0.12</v>
      </c>
    </row>
    <row r="185" spans="1:18" x14ac:dyDescent="0.2">
      <c r="A185" s="63" t="s">
        <v>12</v>
      </c>
      <c r="B185" s="50">
        <v>747188</v>
      </c>
      <c r="C185" s="15">
        <f>ROUND(B185/$B189,4)</f>
        <v>8.6599999999999996E-2</v>
      </c>
      <c r="D185" s="50">
        <f t="shared" si="83"/>
        <v>7328796</v>
      </c>
      <c r="E185" s="40">
        <f>35566.38+36197.51</f>
        <v>71763.89</v>
      </c>
      <c r="F185" s="40">
        <f>8156.6+4184.51</f>
        <v>12341.11</v>
      </c>
      <c r="G185" s="40">
        <v>5058.33</v>
      </c>
      <c r="H185" s="40"/>
      <c r="I185" s="40">
        <f t="shared" si="79"/>
        <v>89163.33</v>
      </c>
      <c r="J185" s="40">
        <v>11591.24</v>
      </c>
      <c r="K185" s="40">
        <f t="shared" si="80"/>
        <v>100754.57</v>
      </c>
      <c r="L185" s="40">
        <f>ROUND(I185+(J185*0.145),2)</f>
        <v>90844.06</v>
      </c>
      <c r="M185" s="40">
        <f t="shared" si="88"/>
        <v>647782.46000000008</v>
      </c>
      <c r="N185" s="56">
        <f t="shared" si="84"/>
        <v>856803.22</v>
      </c>
      <c r="O185" s="55">
        <f t="shared" si="85"/>
        <v>9.6000000000000002E-2</v>
      </c>
      <c r="P185" s="55">
        <f t="shared" si="86"/>
        <v>8.7999999999999995E-2</v>
      </c>
      <c r="Q185" s="40">
        <f t="shared" si="87"/>
        <v>0.12</v>
      </c>
      <c r="R185" s="40">
        <f t="shared" si="82"/>
        <v>0.12</v>
      </c>
    </row>
    <row r="186" spans="1:18" x14ac:dyDescent="0.2">
      <c r="A186" s="63" t="s">
        <v>13</v>
      </c>
      <c r="B186" s="50">
        <v>630558</v>
      </c>
      <c r="C186" s="15">
        <f>ROUND(B186/$B189,4)</f>
        <v>7.3099999999999998E-2</v>
      </c>
      <c r="D186" s="50">
        <f t="shared" si="83"/>
        <v>7959354</v>
      </c>
      <c r="E186" s="40">
        <f>48472.48+16221.94</f>
        <v>64694.420000000006</v>
      </c>
      <c r="F186" s="40">
        <f>8121.31+3531.37</f>
        <v>11652.68</v>
      </c>
      <c r="G186" s="40">
        <v>4268.7700000000004</v>
      </c>
      <c r="H186" s="40"/>
      <c r="I186" s="40">
        <f>SUM(E186:H186)</f>
        <v>80615.87000000001</v>
      </c>
      <c r="J186" s="40">
        <v>10480.06</v>
      </c>
      <c r="K186" s="40">
        <f t="shared" si="80"/>
        <v>91095.930000000008</v>
      </c>
      <c r="L186" s="40">
        <f t="shared" ref="L186:L187" si="89">ROUND(I186+(J186*0.145),2)</f>
        <v>82135.48</v>
      </c>
      <c r="M186" s="40">
        <f t="shared" si="88"/>
        <v>712476.88000000012</v>
      </c>
      <c r="N186" s="56">
        <f t="shared" si="84"/>
        <v>938938.7</v>
      </c>
      <c r="O186" s="55">
        <f t="shared" si="85"/>
        <v>0.10299999999999999</v>
      </c>
      <c r="P186" s="55">
        <f t="shared" si="86"/>
        <v>0.09</v>
      </c>
      <c r="Q186" s="40">
        <f t="shared" si="87"/>
        <v>0.13</v>
      </c>
      <c r="R186" s="40">
        <f t="shared" si="82"/>
        <v>0.12</v>
      </c>
    </row>
    <row r="187" spans="1:18" x14ac:dyDescent="0.2">
      <c r="A187" s="63" t="s">
        <v>14</v>
      </c>
      <c r="B187" s="50">
        <v>667872</v>
      </c>
      <c r="C187" s="15">
        <f>ROUND(B187/$B189,4)</f>
        <v>7.7399999999999997E-2</v>
      </c>
      <c r="D187" s="50">
        <f t="shared" si="83"/>
        <v>8627226</v>
      </c>
      <c r="E187" s="40">
        <f>59834.65+8760.06</f>
        <v>68594.710000000006</v>
      </c>
      <c r="F187" s="40">
        <f>8057.63+3740.34</f>
        <v>11797.970000000001</v>
      </c>
      <c r="G187" s="40">
        <v>4521.38</v>
      </c>
      <c r="H187" s="40"/>
      <c r="I187" s="40">
        <f>SUM(E187:H187)</f>
        <v>84914.060000000012</v>
      </c>
      <c r="J187" s="40">
        <v>11038.83</v>
      </c>
      <c r="K187" s="40">
        <f t="shared" si="80"/>
        <v>95952.890000000014</v>
      </c>
      <c r="L187" s="40">
        <f t="shared" si="89"/>
        <v>86514.69</v>
      </c>
      <c r="M187" s="40">
        <f t="shared" si="88"/>
        <v>781071.59000000008</v>
      </c>
      <c r="N187" s="56">
        <f t="shared" si="84"/>
        <v>1025453.3899999999</v>
      </c>
      <c r="O187" s="55">
        <f t="shared" si="85"/>
        <v>0.10299999999999999</v>
      </c>
      <c r="P187" s="55">
        <f t="shared" si="86"/>
        <v>9.0999999999999998E-2</v>
      </c>
      <c r="Q187" s="40">
        <f t="shared" si="87"/>
        <v>0.13</v>
      </c>
      <c r="R187" s="40">
        <f t="shared" si="82"/>
        <v>0.12</v>
      </c>
    </row>
    <row r="188" spans="1:18" x14ac:dyDescent="0.2">
      <c r="N188" s="57"/>
    </row>
    <row r="189" spans="1:18" x14ac:dyDescent="0.2">
      <c r="A189" s="63" t="s">
        <v>24</v>
      </c>
      <c r="B189" s="50">
        <f>SUM(B176:B187)</f>
        <v>8627226</v>
      </c>
      <c r="C189" s="15">
        <f>SUM(C176:C187)</f>
        <v>0.99990000000000012</v>
      </c>
      <c r="E189" s="52">
        <f t="shared" ref="E189:M189" si="90">SUM(E176:E187)</f>
        <v>781071.59000000008</v>
      </c>
      <c r="F189" s="52">
        <f t="shared" si="90"/>
        <v>166821.85</v>
      </c>
      <c r="G189" s="52">
        <f t="shared" si="90"/>
        <v>58587.71</v>
      </c>
      <c r="H189" s="52">
        <f t="shared" si="90"/>
        <v>0</v>
      </c>
      <c r="I189" s="52">
        <f t="shared" si="90"/>
        <v>1006481.15</v>
      </c>
      <c r="J189" s="52">
        <f t="shared" si="90"/>
        <v>130843.04000000002</v>
      </c>
      <c r="K189" s="52">
        <f t="shared" si="90"/>
        <v>1137324.1900000002</v>
      </c>
      <c r="L189" s="52">
        <f t="shared" si="90"/>
        <v>1025453.3899999999</v>
      </c>
      <c r="M189" s="52">
        <f t="shared" si="90"/>
        <v>4971547.3899999997</v>
      </c>
      <c r="N189" s="52"/>
      <c r="Q189" s="52">
        <f>ROUND(L189/B189,2)</f>
        <v>0.12</v>
      </c>
      <c r="R189" s="52"/>
    </row>
    <row r="194" spans="1:18" x14ac:dyDescent="0.2">
      <c r="B194" s="50" t="s">
        <v>60</v>
      </c>
      <c r="C194" s="3"/>
      <c r="D194" s="50" t="s">
        <v>30</v>
      </c>
      <c r="E194" s="37" t="s">
        <v>45</v>
      </c>
      <c r="F194" s="37" t="s">
        <v>46</v>
      </c>
      <c r="G194" s="37" t="s">
        <v>48</v>
      </c>
      <c r="H194" s="37" t="s">
        <v>55</v>
      </c>
      <c r="I194" s="37" t="s">
        <v>21</v>
      </c>
      <c r="K194" s="37" t="s">
        <v>21</v>
      </c>
      <c r="L194" s="37" t="s">
        <v>23</v>
      </c>
      <c r="M194" s="37" t="s">
        <v>30</v>
      </c>
      <c r="N194" s="57" t="s">
        <v>30</v>
      </c>
      <c r="O194" s="54" t="s">
        <v>52</v>
      </c>
      <c r="P194" s="54" t="s">
        <v>53</v>
      </c>
      <c r="Q194" s="37" t="s">
        <v>50</v>
      </c>
      <c r="R194" s="37" t="s">
        <v>51</v>
      </c>
    </row>
    <row r="195" spans="1:18" x14ac:dyDescent="0.2">
      <c r="A195" s="124" t="s">
        <v>153</v>
      </c>
      <c r="B195" s="50" t="s">
        <v>38</v>
      </c>
      <c r="C195" s="3" t="s">
        <v>44</v>
      </c>
      <c r="D195" s="50" t="s">
        <v>38</v>
      </c>
      <c r="E195" s="37" t="s">
        <v>22</v>
      </c>
      <c r="F195" s="37" t="s">
        <v>152</v>
      </c>
      <c r="G195" s="37" t="s">
        <v>49</v>
      </c>
      <c r="H195" s="37" t="s">
        <v>56</v>
      </c>
      <c r="I195" s="37" t="s">
        <v>39</v>
      </c>
      <c r="J195" s="37" t="s">
        <v>40</v>
      </c>
      <c r="K195" s="37" t="s">
        <v>39</v>
      </c>
      <c r="L195" s="37" t="s">
        <v>34</v>
      </c>
      <c r="M195" s="37" t="s">
        <v>52</v>
      </c>
      <c r="N195" s="57" t="s">
        <v>54</v>
      </c>
      <c r="O195" s="54" t="s">
        <v>43</v>
      </c>
      <c r="P195" s="54" t="s">
        <v>41</v>
      </c>
      <c r="Q195" s="37" t="s">
        <v>43</v>
      </c>
      <c r="R195" s="37" t="s">
        <v>41</v>
      </c>
    </row>
    <row r="196" spans="1:18" x14ac:dyDescent="0.2">
      <c r="D196" s="50" t="s">
        <v>31</v>
      </c>
      <c r="N196" s="57"/>
    </row>
    <row r="197" spans="1:18" x14ac:dyDescent="0.2">
      <c r="A197" s="125" t="s">
        <v>3</v>
      </c>
      <c r="B197" s="119">
        <v>614858</v>
      </c>
      <c r="C197" s="73">
        <f>ROUND(B197/$B210,4)</f>
        <v>7.2599999999999998E-2</v>
      </c>
      <c r="D197" s="119">
        <f>+B197</f>
        <v>614858</v>
      </c>
      <c r="E197" s="120">
        <f>23016.18-3173.45</f>
        <v>19842.73</v>
      </c>
      <c r="F197" s="120">
        <f>7821.05+3443.46</f>
        <v>11264.51</v>
      </c>
      <c r="G197" s="120">
        <v>4162.4799999999996</v>
      </c>
      <c r="H197" s="120"/>
      <c r="I197" s="120">
        <f t="shared" ref="I197:I206" si="91">SUM(E197:H197)</f>
        <v>35269.72</v>
      </c>
      <c r="J197" s="120">
        <v>4585.0600000000004</v>
      </c>
      <c r="K197" s="120">
        <f t="shared" ref="K197:K208" si="92">+I197+J197</f>
        <v>39854.78</v>
      </c>
      <c r="L197" s="120">
        <f t="shared" ref="L197:L205" si="93">ROUND(I197+(J197*0.145),2)</f>
        <v>35934.550000000003</v>
      </c>
      <c r="M197" s="120">
        <f>+E197</f>
        <v>19842.73</v>
      </c>
      <c r="N197" s="121">
        <f>+L197</f>
        <v>35934.550000000003</v>
      </c>
      <c r="O197" s="122">
        <f>IF(B197="","",ROUND(E197/B197,3))</f>
        <v>3.2000000000000001E-2</v>
      </c>
      <c r="P197" s="122">
        <f>ROUND(M197/D197,3)</f>
        <v>3.2000000000000001E-2</v>
      </c>
      <c r="Q197" s="120">
        <f>IF(B197="","",ROUND(L197/B197,2))</f>
        <v>0.06</v>
      </c>
      <c r="R197" s="120">
        <f t="shared" ref="R197:R208" si="94">ROUND(N197/D197,2)</f>
        <v>0.06</v>
      </c>
    </row>
    <row r="198" spans="1:18" x14ac:dyDescent="0.2">
      <c r="A198" s="125" t="s">
        <v>4</v>
      </c>
      <c r="B198" s="119">
        <v>643444</v>
      </c>
      <c r="C198" s="73">
        <f>ROUND(B198/$B210,4)</f>
        <v>7.5999999999999998E-2</v>
      </c>
      <c r="D198" s="119">
        <f t="shared" ref="D198:D208" si="95">+D197+B198</f>
        <v>1258302</v>
      </c>
      <c r="E198" s="120">
        <f>13638.38+25205.26</f>
        <v>38843.64</v>
      </c>
      <c r="F198" s="120">
        <f>10988.61+3603.53</f>
        <v>14592.140000000001</v>
      </c>
      <c r="G198" s="120">
        <v>4356</v>
      </c>
      <c r="H198" s="120"/>
      <c r="I198" s="120">
        <f t="shared" si="91"/>
        <v>57791.78</v>
      </c>
      <c r="J198" s="120">
        <v>7512.93</v>
      </c>
      <c r="K198" s="120">
        <f t="shared" si="92"/>
        <v>65304.71</v>
      </c>
      <c r="L198" s="120">
        <f t="shared" si="93"/>
        <v>58881.15</v>
      </c>
      <c r="M198" s="120">
        <f>+M197+E198</f>
        <v>58686.369999999995</v>
      </c>
      <c r="N198" s="121">
        <f t="shared" ref="N198:N208" si="96">+N197+L198</f>
        <v>94815.700000000012</v>
      </c>
      <c r="O198" s="122">
        <f t="shared" ref="O198:O208" si="97">IF(B198="","",ROUND(E198/B198,3))</f>
        <v>0.06</v>
      </c>
      <c r="P198" s="122">
        <f t="shared" ref="P198:P208" si="98">ROUND(M198/D198,3)</f>
        <v>4.7E-2</v>
      </c>
      <c r="Q198" s="120">
        <f t="shared" ref="Q198:Q208" si="99">IF(B198="","",ROUND(L198/B198,2))</f>
        <v>0.09</v>
      </c>
      <c r="R198" s="120">
        <f t="shared" si="94"/>
        <v>0.08</v>
      </c>
    </row>
    <row r="199" spans="1:18" x14ac:dyDescent="0.2">
      <c r="A199" s="125" t="s">
        <v>5</v>
      </c>
      <c r="B199" s="119">
        <v>854875</v>
      </c>
      <c r="C199" s="73">
        <f>ROUND(B199/$B210,4)</f>
        <v>0.1009</v>
      </c>
      <c r="D199" s="119">
        <f t="shared" si="95"/>
        <v>2113177</v>
      </c>
      <c r="E199" s="120">
        <f>19543.58+59017.26</f>
        <v>78560.84</v>
      </c>
      <c r="F199" s="120">
        <f>12758.85+4950.32</f>
        <v>17709.169999999998</v>
      </c>
      <c r="G199" s="120">
        <v>5984.13</v>
      </c>
      <c r="H199" s="120"/>
      <c r="I199" s="120">
        <f t="shared" si="91"/>
        <v>102254.14</v>
      </c>
      <c r="J199" s="120">
        <v>13293.04</v>
      </c>
      <c r="K199" s="120">
        <f t="shared" si="92"/>
        <v>115547.18</v>
      </c>
      <c r="L199" s="120">
        <f t="shared" si="93"/>
        <v>104181.63</v>
      </c>
      <c r="M199" s="120">
        <f t="shared" ref="M199:M208" si="100">+M198+E199</f>
        <v>137247.21</v>
      </c>
      <c r="N199" s="121">
        <f t="shared" si="96"/>
        <v>198997.33000000002</v>
      </c>
      <c r="O199" s="122">
        <f t="shared" si="97"/>
        <v>9.1999999999999998E-2</v>
      </c>
      <c r="P199" s="122">
        <f t="shared" si="98"/>
        <v>6.5000000000000002E-2</v>
      </c>
      <c r="Q199" s="120">
        <f t="shared" si="99"/>
        <v>0.12</v>
      </c>
      <c r="R199" s="120">
        <f t="shared" si="94"/>
        <v>0.09</v>
      </c>
    </row>
    <row r="200" spans="1:18" x14ac:dyDescent="0.2">
      <c r="A200" s="125" t="s">
        <v>6</v>
      </c>
      <c r="B200" s="119">
        <v>891239</v>
      </c>
      <c r="C200" s="73">
        <f>ROUND(B200/$B210,4)</f>
        <v>0.1052</v>
      </c>
      <c r="D200" s="119">
        <f t="shared" si="95"/>
        <v>3004416</v>
      </c>
      <c r="E200" s="120">
        <f>27510.95+55503.67</f>
        <v>83014.62</v>
      </c>
      <c r="F200" s="120">
        <f>13936.91+5080.31</f>
        <v>19017.22</v>
      </c>
      <c r="G200" s="120">
        <v>6033.53</v>
      </c>
      <c r="H200" s="120"/>
      <c r="I200" s="120">
        <f t="shared" si="91"/>
        <v>108065.37</v>
      </c>
      <c r="J200" s="120">
        <v>14048.5</v>
      </c>
      <c r="K200" s="120">
        <f t="shared" si="92"/>
        <v>122113.87</v>
      </c>
      <c r="L200" s="120">
        <f t="shared" si="93"/>
        <v>110102.39999999999</v>
      </c>
      <c r="M200" s="120">
        <f t="shared" si="100"/>
        <v>220261.83</v>
      </c>
      <c r="N200" s="121">
        <f t="shared" si="96"/>
        <v>309099.73</v>
      </c>
      <c r="O200" s="122">
        <f t="shared" si="97"/>
        <v>9.2999999999999999E-2</v>
      </c>
      <c r="P200" s="122">
        <f t="shared" si="98"/>
        <v>7.2999999999999995E-2</v>
      </c>
      <c r="Q200" s="120">
        <f t="shared" si="99"/>
        <v>0.12</v>
      </c>
      <c r="R200" s="120">
        <f t="shared" si="94"/>
        <v>0.1</v>
      </c>
    </row>
    <row r="201" spans="1:18" x14ac:dyDescent="0.2">
      <c r="A201" s="125" t="s">
        <v>7</v>
      </c>
      <c r="B201" s="119">
        <v>791415</v>
      </c>
      <c r="C201" s="73">
        <f>ROUND(B201/$B210,4)</f>
        <v>9.3399999999999997E-2</v>
      </c>
      <c r="D201" s="119">
        <f t="shared" si="95"/>
        <v>3795831</v>
      </c>
      <c r="E201" s="120">
        <f>18929.3+49790.17</f>
        <v>68719.47</v>
      </c>
      <c r="F201" s="120">
        <f>12347.37+4711.34</f>
        <v>17058.71</v>
      </c>
      <c r="G201" s="120">
        <v>5595.3</v>
      </c>
      <c r="H201" s="120"/>
      <c r="I201" s="120">
        <f t="shared" si="91"/>
        <v>91373.48</v>
      </c>
      <c r="J201" s="120">
        <v>11878.55</v>
      </c>
      <c r="K201" s="120">
        <f t="shared" si="92"/>
        <v>103252.03</v>
      </c>
      <c r="L201" s="120">
        <f t="shared" si="93"/>
        <v>93095.87</v>
      </c>
      <c r="M201" s="120">
        <f t="shared" si="100"/>
        <v>288981.3</v>
      </c>
      <c r="N201" s="121">
        <f t="shared" si="96"/>
        <v>402195.6</v>
      </c>
      <c r="O201" s="122">
        <f t="shared" si="97"/>
        <v>8.6999999999999994E-2</v>
      </c>
      <c r="P201" s="122">
        <f t="shared" si="98"/>
        <v>7.5999999999999998E-2</v>
      </c>
      <c r="Q201" s="120">
        <f t="shared" si="99"/>
        <v>0.12</v>
      </c>
      <c r="R201" s="120">
        <f t="shared" si="94"/>
        <v>0.11</v>
      </c>
    </row>
    <row r="202" spans="1:18" x14ac:dyDescent="0.2">
      <c r="A202" s="125" t="s">
        <v>8</v>
      </c>
      <c r="B202" s="119">
        <v>817132</v>
      </c>
      <c r="C202" s="73">
        <f>ROUND(B202/$B210,4)</f>
        <v>9.6500000000000002E-2</v>
      </c>
      <c r="D202" s="119">
        <f t="shared" si="95"/>
        <v>4612963</v>
      </c>
      <c r="E202" s="120">
        <f>15027.58+60230.68</f>
        <v>75258.259999999995</v>
      </c>
      <c r="F202" s="120">
        <f>12761.77+4657.9</f>
        <v>17419.669999999998</v>
      </c>
      <c r="G202" s="120">
        <v>5531.84</v>
      </c>
      <c r="H202" s="120"/>
      <c r="I202" s="120">
        <f t="shared" si="91"/>
        <v>98209.76999999999</v>
      </c>
      <c r="J202" s="120">
        <v>12767.27</v>
      </c>
      <c r="K202" s="120">
        <f t="shared" si="92"/>
        <v>110977.04</v>
      </c>
      <c r="L202" s="120">
        <f t="shared" si="93"/>
        <v>100061.02</v>
      </c>
      <c r="M202" s="120">
        <f t="shared" si="100"/>
        <v>364239.56</v>
      </c>
      <c r="N202" s="121">
        <f t="shared" si="96"/>
        <v>502256.62</v>
      </c>
      <c r="O202" s="122">
        <f t="shared" si="97"/>
        <v>9.1999999999999998E-2</v>
      </c>
      <c r="P202" s="122">
        <f t="shared" si="98"/>
        <v>7.9000000000000001E-2</v>
      </c>
      <c r="Q202" s="120">
        <f t="shared" si="99"/>
        <v>0.12</v>
      </c>
      <c r="R202" s="120">
        <f t="shared" si="94"/>
        <v>0.11</v>
      </c>
    </row>
    <row r="203" spans="1:18" x14ac:dyDescent="0.2">
      <c r="A203" s="125" t="s">
        <v>9</v>
      </c>
      <c r="B203" s="119">
        <v>655979</v>
      </c>
      <c r="C203" s="73">
        <f>ROUND(B203/$B210,4)</f>
        <v>7.7399999999999997E-2</v>
      </c>
      <c r="D203" s="119">
        <f t="shared" si="95"/>
        <v>5268942</v>
      </c>
      <c r="E203" s="120">
        <f>5119.59+49762.82</f>
        <v>54882.41</v>
      </c>
      <c r="F203" s="120">
        <f>9877.53+3739.33</f>
        <v>13616.86</v>
      </c>
      <c r="G203" s="120">
        <v>4440.8599999999997</v>
      </c>
      <c r="H203" s="120"/>
      <c r="I203" s="120">
        <f t="shared" si="91"/>
        <v>72940.13</v>
      </c>
      <c r="J203" s="120">
        <v>9482.2199999999993</v>
      </c>
      <c r="K203" s="120">
        <f t="shared" si="92"/>
        <v>82422.350000000006</v>
      </c>
      <c r="L203" s="120">
        <f t="shared" si="93"/>
        <v>74315.05</v>
      </c>
      <c r="M203" s="120">
        <f t="shared" si="100"/>
        <v>419121.97</v>
      </c>
      <c r="N203" s="121">
        <f t="shared" si="96"/>
        <v>576571.67000000004</v>
      </c>
      <c r="O203" s="122">
        <f t="shared" si="97"/>
        <v>8.4000000000000005E-2</v>
      </c>
      <c r="P203" s="122">
        <f t="shared" si="98"/>
        <v>0.08</v>
      </c>
      <c r="Q203" s="120">
        <f t="shared" si="99"/>
        <v>0.11</v>
      </c>
      <c r="R203" s="120">
        <f t="shared" si="94"/>
        <v>0.11</v>
      </c>
    </row>
    <row r="204" spans="1:18" x14ac:dyDescent="0.2">
      <c r="A204" s="125" t="s">
        <v>10</v>
      </c>
      <c r="B204" s="119">
        <v>605608</v>
      </c>
      <c r="C204" s="73">
        <f>ROUND(B204/$B210,4)</f>
        <v>7.1499999999999994E-2</v>
      </c>
      <c r="D204" s="119">
        <f t="shared" si="95"/>
        <v>5874550</v>
      </c>
      <c r="E204" s="120">
        <f>8153.77+55669.93</f>
        <v>63823.7</v>
      </c>
      <c r="F204" s="120">
        <f>7848.33+3452.22</f>
        <v>11300.55</v>
      </c>
      <c r="G204" s="120">
        <v>4099.8599999999997</v>
      </c>
      <c r="H204" s="120"/>
      <c r="I204" s="120">
        <f t="shared" si="91"/>
        <v>79224.11</v>
      </c>
      <c r="J204" s="120">
        <v>10299.129999999999</v>
      </c>
      <c r="K204" s="120">
        <f t="shared" si="92"/>
        <v>89523.24</v>
      </c>
      <c r="L204" s="120">
        <f t="shared" si="93"/>
        <v>80717.48</v>
      </c>
      <c r="M204" s="120">
        <f t="shared" si="100"/>
        <v>482945.67</v>
      </c>
      <c r="N204" s="121">
        <f t="shared" si="96"/>
        <v>657289.15</v>
      </c>
      <c r="O204" s="122">
        <f t="shared" si="97"/>
        <v>0.105</v>
      </c>
      <c r="P204" s="122">
        <f t="shared" si="98"/>
        <v>8.2000000000000003E-2</v>
      </c>
      <c r="Q204" s="120">
        <f t="shared" si="99"/>
        <v>0.13</v>
      </c>
      <c r="R204" s="120">
        <f t="shared" si="94"/>
        <v>0.11</v>
      </c>
    </row>
    <row r="205" spans="1:18" x14ac:dyDescent="0.2">
      <c r="A205" s="125" t="s">
        <v>11</v>
      </c>
      <c r="B205" s="119">
        <v>653692</v>
      </c>
      <c r="C205" s="73">
        <f>ROUND(B205/$B210,4)</f>
        <v>7.7200000000000005E-2</v>
      </c>
      <c r="D205" s="119">
        <f t="shared" si="95"/>
        <v>6528242</v>
      </c>
      <c r="E205" s="120">
        <f>17044.06+52367.51</f>
        <v>69411.570000000007</v>
      </c>
      <c r="F205" s="120">
        <f>8075.8+3726.3</f>
        <v>11802.1</v>
      </c>
      <c r="G205" s="120">
        <v>4425.38</v>
      </c>
      <c r="H205" s="120"/>
      <c r="I205" s="120">
        <f t="shared" si="91"/>
        <v>85639.050000000017</v>
      </c>
      <c r="J205" s="120">
        <v>11133.08</v>
      </c>
      <c r="K205" s="120">
        <f t="shared" si="92"/>
        <v>96772.130000000019</v>
      </c>
      <c r="L205" s="120">
        <f t="shared" si="93"/>
        <v>87253.35</v>
      </c>
      <c r="M205" s="120">
        <f t="shared" si="100"/>
        <v>552357.24</v>
      </c>
      <c r="N205" s="121">
        <f t="shared" si="96"/>
        <v>744542.5</v>
      </c>
      <c r="O205" s="122">
        <f t="shared" si="97"/>
        <v>0.106</v>
      </c>
      <c r="P205" s="122">
        <f t="shared" si="98"/>
        <v>8.5000000000000006E-2</v>
      </c>
      <c r="Q205" s="120">
        <f t="shared" si="99"/>
        <v>0.13</v>
      </c>
      <c r="R205" s="120">
        <f t="shared" si="94"/>
        <v>0.11</v>
      </c>
    </row>
    <row r="206" spans="1:18" x14ac:dyDescent="0.2">
      <c r="A206" s="125" t="s">
        <v>12</v>
      </c>
      <c r="B206" s="119">
        <v>659460</v>
      </c>
      <c r="C206" s="73">
        <f>ROUND(B206/$B210,4)</f>
        <v>7.7799999999999994E-2</v>
      </c>
      <c r="D206" s="119">
        <f t="shared" si="95"/>
        <v>7187702</v>
      </c>
      <c r="E206" s="120">
        <f>14360.38+41098.12-92.16</f>
        <v>55366.34</v>
      </c>
      <c r="F206" s="120">
        <f>8403.29+3886.98</f>
        <v>12290.27</v>
      </c>
      <c r="G206" s="120">
        <v>4616.22</v>
      </c>
      <c r="H206" s="120"/>
      <c r="I206" s="120">
        <f t="shared" si="91"/>
        <v>72272.83</v>
      </c>
      <c r="J206" s="120">
        <v>9395.4699999999993</v>
      </c>
      <c r="K206" s="120">
        <f t="shared" si="92"/>
        <v>81668.3</v>
      </c>
      <c r="L206" s="120">
        <f>ROUND(I206+(J206*0.145),2)</f>
        <v>73635.17</v>
      </c>
      <c r="M206" s="120">
        <f t="shared" si="100"/>
        <v>607723.57999999996</v>
      </c>
      <c r="N206" s="121">
        <f t="shared" si="96"/>
        <v>818177.67</v>
      </c>
      <c r="O206" s="122">
        <f t="shared" si="97"/>
        <v>8.4000000000000005E-2</v>
      </c>
      <c r="P206" s="122">
        <f t="shared" si="98"/>
        <v>8.5000000000000006E-2</v>
      </c>
      <c r="Q206" s="120">
        <f t="shared" si="99"/>
        <v>0.11</v>
      </c>
      <c r="R206" s="120">
        <f t="shared" si="94"/>
        <v>0.11</v>
      </c>
    </row>
    <row r="207" spans="1:18" x14ac:dyDescent="0.2">
      <c r="A207" s="125" t="s">
        <v>13</v>
      </c>
      <c r="B207" s="119">
        <v>674432</v>
      </c>
      <c r="C207" s="73">
        <f>ROUND(B207/$B210,4)</f>
        <v>7.9600000000000004E-2</v>
      </c>
      <c r="D207" s="119">
        <f t="shared" si="95"/>
        <v>7862134</v>
      </c>
      <c r="E207" s="120">
        <f>31475.57+44622.61</f>
        <v>76098.179999999993</v>
      </c>
      <c r="F207" s="120">
        <f>8449+3844.51</f>
        <v>12293.51</v>
      </c>
      <c r="G207" s="120">
        <v>4565.79</v>
      </c>
      <c r="H207" s="120"/>
      <c r="I207" s="120">
        <f>SUM(E207:H207)</f>
        <v>92957.479999999981</v>
      </c>
      <c r="J207" s="120">
        <v>12084.47</v>
      </c>
      <c r="K207" s="120">
        <f t="shared" si="92"/>
        <v>105041.94999999998</v>
      </c>
      <c r="L207" s="120">
        <f t="shared" ref="L207:L208" si="101">ROUND(I207+(J207*0.145),2)</f>
        <v>94709.73</v>
      </c>
      <c r="M207" s="120">
        <f t="shared" si="100"/>
        <v>683821.76</v>
      </c>
      <c r="N207" s="121">
        <f t="shared" si="96"/>
        <v>912887.4</v>
      </c>
      <c r="O207" s="122">
        <f t="shared" si="97"/>
        <v>0.113</v>
      </c>
      <c r="P207" s="122">
        <f t="shared" si="98"/>
        <v>8.6999999999999994E-2</v>
      </c>
      <c r="Q207" s="120">
        <f t="shared" si="99"/>
        <v>0.14000000000000001</v>
      </c>
      <c r="R207" s="120">
        <f t="shared" si="94"/>
        <v>0.12</v>
      </c>
    </row>
    <row r="208" spans="1:18" x14ac:dyDescent="0.2">
      <c r="A208" s="125" t="s">
        <v>14</v>
      </c>
      <c r="B208" s="119">
        <v>609676</v>
      </c>
      <c r="C208" s="73">
        <f>ROUND(B208/$B210,4)</f>
        <v>7.1999999999999995E-2</v>
      </c>
      <c r="D208" s="119">
        <f t="shared" si="95"/>
        <v>8471810</v>
      </c>
      <c r="E208" s="120">
        <f>19907.35+25680.41</f>
        <v>45587.759999999995</v>
      </c>
      <c r="F208" s="120">
        <f>8363.75+3475.41</f>
        <v>11839.16</v>
      </c>
      <c r="G208" s="120">
        <v>4127.3999999999996</v>
      </c>
      <c r="H208" s="120"/>
      <c r="I208" s="120">
        <f>SUM(E208:H208)</f>
        <v>61554.32</v>
      </c>
      <c r="J208" s="120">
        <v>8001.93</v>
      </c>
      <c r="K208" s="120">
        <f t="shared" si="92"/>
        <v>69556.25</v>
      </c>
      <c r="L208" s="120">
        <f t="shared" si="101"/>
        <v>62714.6</v>
      </c>
      <c r="M208" s="120">
        <f t="shared" si="100"/>
        <v>729409.52</v>
      </c>
      <c r="N208" s="121">
        <f t="shared" si="96"/>
        <v>975602</v>
      </c>
      <c r="O208" s="122">
        <f t="shared" si="97"/>
        <v>7.4999999999999997E-2</v>
      </c>
      <c r="P208" s="122">
        <f t="shared" si="98"/>
        <v>8.5999999999999993E-2</v>
      </c>
      <c r="Q208" s="120">
        <f t="shared" si="99"/>
        <v>0.1</v>
      </c>
      <c r="R208" s="120">
        <f t="shared" si="94"/>
        <v>0.12</v>
      </c>
    </row>
    <row r="209" spans="1:18" x14ac:dyDescent="0.2">
      <c r="N209" s="57"/>
    </row>
    <row r="210" spans="1:18" x14ac:dyDescent="0.2">
      <c r="A210" s="63" t="s">
        <v>24</v>
      </c>
      <c r="B210" s="50">
        <f>SUM(B197:B208)</f>
        <v>8471810</v>
      </c>
      <c r="C210" s="15">
        <f>SUM(C197:C208)</f>
        <v>1.0001</v>
      </c>
      <c r="E210" s="52">
        <f t="shared" ref="E210:M210" si="102">SUM(E197:E208)</f>
        <v>729409.52</v>
      </c>
      <c r="F210" s="52">
        <f t="shared" si="102"/>
        <v>170203.87</v>
      </c>
      <c r="G210" s="52">
        <f t="shared" si="102"/>
        <v>57938.79</v>
      </c>
      <c r="H210" s="52">
        <f t="shared" si="102"/>
        <v>0</v>
      </c>
      <c r="I210" s="52">
        <f t="shared" si="102"/>
        <v>957552.17999999993</v>
      </c>
      <c r="J210" s="52">
        <f t="shared" si="102"/>
        <v>124481.65000000002</v>
      </c>
      <c r="K210" s="52">
        <f t="shared" si="102"/>
        <v>1082033.83</v>
      </c>
      <c r="L210" s="52">
        <f t="shared" si="102"/>
        <v>975602</v>
      </c>
      <c r="M210" s="52">
        <f t="shared" si="102"/>
        <v>4564638.74</v>
      </c>
      <c r="N210" s="52"/>
      <c r="Q210" s="52">
        <f>ROUND(L210/B210,2)</f>
        <v>0.12</v>
      </c>
      <c r="R210" s="52"/>
    </row>
    <row r="215" spans="1:18" s="63" customFormat="1" x14ac:dyDescent="0.2">
      <c r="B215" s="126" t="s">
        <v>60</v>
      </c>
      <c r="C215" s="127"/>
      <c r="D215" s="126" t="s">
        <v>30</v>
      </c>
      <c r="E215" s="128" t="s">
        <v>45</v>
      </c>
      <c r="F215" s="128" t="s">
        <v>46</v>
      </c>
      <c r="G215" s="128" t="s">
        <v>48</v>
      </c>
      <c r="H215" s="128" t="s">
        <v>55</v>
      </c>
      <c r="I215" s="128" t="s">
        <v>21</v>
      </c>
      <c r="J215" s="128"/>
      <c r="K215" s="128" t="s">
        <v>21</v>
      </c>
      <c r="L215" s="128" t="s">
        <v>23</v>
      </c>
      <c r="M215" s="128" t="s">
        <v>30</v>
      </c>
      <c r="N215" s="129" t="s">
        <v>30</v>
      </c>
      <c r="O215" s="130" t="s">
        <v>52</v>
      </c>
      <c r="P215" s="130" t="s">
        <v>53</v>
      </c>
      <c r="Q215" s="128" t="s">
        <v>50</v>
      </c>
      <c r="R215" s="128" t="s">
        <v>51</v>
      </c>
    </row>
    <row r="216" spans="1:18" s="63" customFormat="1" x14ac:dyDescent="0.2">
      <c r="A216" s="124" t="s">
        <v>155</v>
      </c>
      <c r="B216" s="126" t="s">
        <v>38</v>
      </c>
      <c r="C216" s="127" t="s">
        <v>44</v>
      </c>
      <c r="D216" s="126" t="s">
        <v>38</v>
      </c>
      <c r="E216" s="128" t="s">
        <v>22</v>
      </c>
      <c r="F216" s="128" t="s">
        <v>152</v>
      </c>
      <c r="G216" s="128" t="s">
        <v>49</v>
      </c>
      <c r="H216" s="128" t="s">
        <v>56</v>
      </c>
      <c r="I216" s="128" t="s">
        <v>39</v>
      </c>
      <c r="J216" s="128" t="s">
        <v>40</v>
      </c>
      <c r="K216" s="128" t="s">
        <v>39</v>
      </c>
      <c r="L216" s="128" t="s">
        <v>34</v>
      </c>
      <c r="M216" s="128" t="s">
        <v>52</v>
      </c>
      <c r="N216" s="129" t="s">
        <v>54</v>
      </c>
      <c r="O216" s="130" t="s">
        <v>43</v>
      </c>
      <c r="P216" s="130" t="s">
        <v>41</v>
      </c>
      <c r="Q216" s="128" t="s">
        <v>43</v>
      </c>
      <c r="R216" s="128" t="s">
        <v>41</v>
      </c>
    </row>
    <row r="217" spans="1:18" x14ac:dyDescent="0.2">
      <c r="D217" s="50" t="s">
        <v>31</v>
      </c>
      <c r="N217" s="57"/>
    </row>
    <row r="218" spans="1:18" x14ac:dyDescent="0.2">
      <c r="A218" s="125" t="s">
        <v>3</v>
      </c>
      <c r="B218" s="119">
        <v>592488.5</v>
      </c>
      <c r="C218" s="73">
        <f>ROUND(B218/$B231,4)</f>
        <v>0.45350000000000001</v>
      </c>
      <c r="D218" s="119">
        <f>+B218</f>
        <v>592488.5</v>
      </c>
      <c r="E218" s="120">
        <f>9454.25+35276.66</f>
        <v>44730.91</v>
      </c>
      <c r="F218" s="120">
        <f>8465.69+3377.44</f>
        <v>11843.130000000001</v>
      </c>
      <c r="G218" s="120">
        <v>4011.04</v>
      </c>
      <c r="H218" s="120"/>
      <c r="I218" s="120">
        <f t="shared" ref="I218:I227" si="103">SUM(E218:H218)</f>
        <v>60585.080000000009</v>
      </c>
      <c r="J218" s="120">
        <v>7876.06</v>
      </c>
      <c r="K218" s="120">
        <f t="shared" ref="K218:K229" si="104">+I218+J218</f>
        <v>68461.140000000014</v>
      </c>
      <c r="L218" s="120">
        <f t="shared" ref="L218:L226" si="105">ROUND(I218+(J218*0.145),2)</f>
        <v>61727.11</v>
      </c>
      <c r="M218" s="120">
        <f>+E218</f>
        <v>44730.91</v>
      </c>
      <c r="N218" s="121">
        <f>+L218</f>
        <v>61727.11</v>
      </c>
      <c r="O218" s="122">
        <f>IF(B218="","",ROUND(E218/B218,3))</f>
        <v>7.4999999999999997E-2</v>
      </c>
      <c r="P218" s="122">
        <f>ROUND(M218/D218,3)</f>
        <v>7.4999999999999997E-2</v>
      </c>
      <c r="Q218" s="120">
        <f>IF(B218="","",ROUND(L218/B218,2))</f>
        <v>0.1</v>
      </c>
      <c r="R218" s="120">
        <f t="shared" ref="R218:R229" si="106">ROUND(N218/D218,2)</f>
        <v>0.1</v>
      </c>
    </row>
    <row r="219" spans="1:18" x14ac:dyDescent="0.2">
      <c r="A219" s="125" t="s">
        <v>4</v>
      </c>
      <c r="B219" s="119">
        <v>713938</v>
      </c>
      <c r="C219" s="73">
        <f>ROUND(B219/$B231,4)</f>
        <v>0.54649999999999999</v>
      </c>
      <c r="D219" s="119">
        <f t="shared" ref="D219:D229" si="107">+D218+B219</f>
        <v>1306426.5</v>
      </c>
      <c r="E219" s="120">
        <f>13074.42+63477.87-863.61</f>
        <v>75688.680000000008</v>
      </c>
      <c r="F219" s="120">
        <f>13503.03+4069.7</f>
        <v>17572.73</v>
      </c>
      <c r="G219" s="120">
        <v>4833.24</v>
      </c>
      <c r="H219" s="120"/>
      <c r="I219" s="120">
        <f t="shared" si="103"/>
        <v>98094.650000000009</v>
      </c>
      <c r="J219" s="120">
        <v>12752.3</v>
      </c>
      <c r="K219" s="120">
        <f t="shared" si="104"/>
        <v>110846.95000000001</v>
      </c>
      <c r="L219" s="120">
        <f t="shared" si="105"/>
        <v>99943.73</v>
      </c>
      <c r="M219" s="120">
        <f>+M218+E219</f>
        <v>120419.59000000001</v>
      </c>
      <c r="N219" s="121">
        <f t="shared" ref="N219:N229" si="108">+N218+L219</f>
        <v>161670.84</v>
      </c>
      <c r="O219" s="122">
        <f t="shared" ref="O219:O229" si="109">IF(B219="","",ROUND(E219/B219,3))</f>
        <v>0.106</v>
      </c>
      <c r="P219" s="122">
        <f t="shared" ref="P219:P229" si="110">ROUND(M219/D219,3)</f>
        <v>9.1999999999999998E-2</v>
      </c>
      <c r="Q219" s="120">
        <f t="shared" ref="Q219:Q229" si="111">IF(B219="","",ROUND(L219/B219,2))</f>
        <v>0.14000000000000001</v>
      </c>
      <c r="R219" s="120">
        <f t="shared" si="106"/>
        <v>0.12</v>
      </c>
    </row>
    <row r="220" spans="1:18" x14ac:dyDescent="0.2">
      <c r="A220" s="125" t="s">
        <v>5</v>
      </c>
      <c r="B220" s="119"/>
      <c r="C220" s="73">
        <f>ROUND(B220/$B231,4)</f>
        <v>0</v>
      </c>
      <c r="D220" s="119">
        <f t="shared" si="107"/>
        <v>1306426.5</v>
      </c>
      <c r="E220" s="120"/>
      <c r="F220" s="120"/>
      <c r="G220" s="120"/>
      <c r="H220" s="120"/>
      <c r="I220" s="120">
        <f t="shared" si="103"/>
        <v>0</v>
      </c>
      <c r="J220" s="120"/>
      <c r="K220" s="120">
        <f t="shared" si="104"/>
        <v>0</v>
      </c>
      <c r="L220" s="120">
        <f t="shared" si="105"/>
        <v>0</v>
      </c>
      <c r="M220" s="120">
        <f t="shared" ref="M220:M229" si="112">+M219+E220</f>
        <v>120419.59000000001</v>
      </c>
      <c r="N220" s="121">
        <f t="shared" si="108"/>
        <v>161670.84</v>
      </c>
      <c r="O220" s="122" t="str">
        <f t="shared" si="109"/>
        <v/>
      </c>
      <c r="P220" s="122">
        <f t="shared" si="110"/>
        <v>9.1999999999999998E-2</v>
      </c>
      <c r="Q220" s="120" t="str">
        <f t="shared" si="111"/>
        <v/>
      </c>
      <c r="R220" s="120">
        <f t="shared" si="106"/>
        <v>0.12</v>
      </c>
    </row>
    <row r="221" spans="1:18" x14ac:dyDescent="0.2">
      <c r="A221" s="125" t="s">
        <v>6</v>
      </c>
      <c r="B221" s="119"/>
      <c r="C221" s="73">
        <f>ROUND(B221/$B231,4)</f>
        <v>0</v>
      </c>
      <c r="D221" s="119">
        <f t="shared" si="107"/>
        <v>1306426.5</v>
      </c>
      <c r="E221" s="120"/>
      <c r="F221" s="120"/>
      <c r="G221" s="120"/>
      <c r="H221" s="120"/>
      <c r="I221" s="120">
        <f t="shared" si="103"/>
        <v>0</v>
      </c>
      <c r="J221" s="120"/>
      <c r="K221" s="120">
        <f t="shared" si="104"/>
        <v>0</v>
      </c>
      <c r="L221" s="120">
        <f t="shared" si="105"/>
        <v>0</v>
      </c>
      <c r="M221" s="120">
        <f t="shared" si="112"/>
        <v>120419.59000000001</v>
      </c>
      <c r="N221" s="121">
        <f t="shared" si="108"/>
        <v>161670.84</v>
      </c>
      <c r="O221" s="122" t="str">
        <f t="shared" si="109"/>
        <v/>
      </c>
      <c r="P221" s="122">
        <f t="shared" si="110"/>
        <v>9.1999999999999998E-2</v>
      </c>
      <c r="Q221" s="120" t="str">
        <f t="shared" si="111"/>
        <v/>
      </c>
      <c r="R221" s="120">
        <f t="shared" si="106"/>
        <v>0.12</v>
      </c>
    </row>
    <row r="222" spans="1:18" x14ac:dyDescent="0.2">
      <c r="A222" s="125" t="s">
        <v>7</v>
      </c>
      <c r="B222" s="119"/>
      <c r="C222" s="73">
        <f>ROUND(B222/$B231,4)</f>
        <v>0</v>
      </c>
      <c r="D222" s="119">
        <f t="shared" si="107"/>
        <v>1306426.5</v>
      </c>
      <c r="E222" s="120"/>
      <c r="F222" s="120"/>
      <c r="G222" s="120"/>
      <c r="H222" s="120"/>
      <c r="I222" s="120">
        <f t="shared" si="103"/>
        <v>0</v>
      </c>
      <c r="J222" s="120"/>
      <c r="K222" s="120">
        <f t="shared" si="104"/>
        <v>0</v>
      </c>
      <c r="L222" s="120">
        <f t="shared" si="105"/>
        <v>0</v>
      </c>
      <c r="M222" s="120">
        <f t="shared" si="112"/>
        <v>120419.59000000001</v>
      </c>
      <c r="N222" s="121">
        <f t="shared" si="108"/>
        <v>161670.84</v>
      </c>
      <c r="O222" s="122" t="str">
        <f t="shared" si="109"/>
        <v/>
      </c>
      <c r="P222" s="122">
        <f t="shared" si="110"/>
        <v>9.1999999999999998E-2</v>
      </c>
      <c r="Q222" s="120" t="str">
        <f t="shared" si="111"/>
        <v/>
      </c>
      <c r="R222" s="120">
        <f t="shared" si="106"/>
        <v>0.12</v>
      </c>
    </row>
    <row r="223" spans="1:18" x14ac:dyDescent="0.2">
      <c r="A223" s="125" t="s">
        <v>8</v>
      </c>
      <c r="B223" s="119"/>
      <c r="C223" s="73">
        <f>ROUND(B223/$B231,4)</f>
        <v>0</v>
      </c>
      <c r="D223" s="119">
        <f t="shared" si="107"/>
        <v>1306426.5</v>
      </c>
      <c r="E223" s="120"/>
      <c r="F223" s="120"/>
      <c r="G223" s="120"/>
      <c r="H223" s="120"/>
      <c r="I223" s="120">
        <f t="shared" si="103"/>
        <v>0</v>
      </c>
      <c r="J223" s="120"/>
      <c r="K223" s="120">
        <f t="shared" si="104"/>
        <v>0</v>
      </c>
      <c r="L223" s="120">
        <f t="shared" si="105"/>
        <v>0</v>
      </c>
      <c r="M223" s="120">
        <f t="shared" si="112"/>
        <v>120419.59000000001</v>
      </c>
      <c r="N223" s="121">
        <f t="shared" si="108"/>
        <v>161670.84</v>
      </c>
      <c r="O223" s="122" t="str">
        <f t="shared" si="109"/>
        <v/>
      </c>
      <c r="P223" s="122">
        <f t="shared" si="110"/>
        <v>9.1999999999999998E-2</v>
      </c>
      <c r="Q223" s="120" t="str">
        <f t="shared" si="111"/>
        <v/>
      </c>
      <c r="R223" s="120">
        <f t="shared" si="106"/>
        <v>0.12</v>
      </c>
    </row>
    <row r="224" spans="1:18" x14ac:dyDescent="0.2">
      <c r="A224" s="125" t="s">
        <v>9</v>
      </c>
      <c r="B224" s="119"/>
      <c r="C224" s="73">
        <f>ROUND(B224/$B231,4)</f>
        <v>0</v>
      </c>
      <c r="D224" s="119">
        <f t="shared" si="107"/>
        <v>1306426.5</v>
      </c>
      <c r="E224" s="120"/>
      <c r="F224" s="120"/>
      <c r="G224" s="120"/>
      <c r="H224" s="120"/>
      <c r="I224" s="120">
        <f t="shared" si="103"/>
        <v>0</v>
      </c>
      <c r="J224" s="120"/>
      <c r="K224" s="120">
        <f t="shared" si="104"/>
        <v>0</v>
      </c>
      <c r="L224" s="120">
        <f t="shared" si="105"/>
        <v>0</v>
      </c>
      <c r="M224" s="120">
        <f t="shared" si="112"/>
        <v>120419.59000000001</v>
      </c>
      <c r="N224" s="121">
        <f t="shared" si="108"/>
        <v>161670.84</v>
      </c>
      <c r="O224" s="122" t="str">
        <f t="shared" si="109"/>
        <v/>
      </c>
      <c r="P224" s="122">
        <f t="shared" si="110"/>
        <v>9.1999999999999998E-2</v>
      </c>
      <c r="Q224" s="120" t="str">
        <f t="shared" si="111"/>
        <v/>
      </c>
      <c r="R224" s="120">
        <f t="shared" si="106"/>
        <v>0.12</v>
      </c>
    </row>
    <row r="225" spans="1:18" x14ac:dyDescent="0.2">
      <c r="A225" s="125" t="s">
        <v>10</v>
      </c>
      <c r="B225" s="119"/>
      <c r="C225" s="73">
        <f>ROUND(B225/$B231,4)</f>
        <v>0</v>
      </c>
      <c r="D225" s="119">
        <f t="shared" si="107"/>
        <v>1306426.5</v>
      </c>
      <c r="E225" s="120"/>
      <c r="F225" s="120"/>
      <c r="G225" s="120"/>
      <c r="H225" s="120"/>
      <c r="I225" s="120">
        <f t="shared" si="103"/>
        <v>0</v>
      </c>
      <c r="J225" s="120"/>
      <c r="K225" s="120">
        <f t="shared" si="104"/>
        <v>0</v>
      </c>
      <c r="L225" s="120">
        <f t="shared" si="105"/>
        <v>0</v>
      </c>
      <c r="M225" s="120">
        <f t="shared" si="112"/>
        <v>120419.59000000001</v>
      </c>
      <c r="N225" s="121">
        <f t="shared" si="108"/>
        <v>161670.84</v>
      </c>
      <c r="O225" s="122" t="str">
        <f t="shared" si="109"/>
        <v/>
      </c>
      <c r="P225" s="122">
        <f t="shared" si="110"/>
        <v>9.1999999999999998E-2</v>
      </c>
      <c r="Q225" s="120" t="str">
        <f t="shared" si="111"/>
        <v/>
      </c>
      <c r="R225" s="120">
        <f t="shared" si="106"/>
        <v>0.12</v>
      </c>
    </row>
    <row r="226" spans="1:18" x14ac:dyDescent="0.2">
      <c r="A226" s="125" t="s">
        <v>11</v>
      </c>
      <c r="B226" s="119"/>
      <c r="C226" s="73">
        <f>ROUND(B226/$B231,4)</f>
        <v>0</v>
      </c>
      <c r="D226" s="119">
        <f t="shared" si="107"/>
        <v>1306426.5</v>
      </c>
      <c r="E226" s="120"/>
      <c r="F226" s="120"/>
      <c r="G226" s="120"/>
      <c r="H226" s="120"/>
      <c r="I226" s="120">
        <f t="shared" si="103"/>
        <v>0</v>
      </c>
      <c r="J226" s="120"/>
      <c r="K226" s="120">
        <f t="shared" si="104"/>
        <v>0</v>
      </c>
      <c r="L226" s="120">
        <f t="shared" si="105"/>
        <v>0</v>
      </c>
      <c r="M226" s="120">
        <f t="shared" si="112"/>
        <v>120419.59000000001</v>
      </c>
      <c r="N226" s="121">
        <f t="shared" si="108"/>
        <v>161670.84</v>
      </c>
      <c r="O226" s="122" t="str">
        <f t="shared" si="109"/>
        <v/>
      </c>
      <c r="P226" s="122">
        <f t="shared" si="110"/>
        <v>9.1999999999999998E-2</v>
      </c>
      <c r="Q226" s="120" t="str">
        <f t="shared" si="111"/>
        <v/>
      </c>
      <c r="R226" s="120">
        <f t="shared" si="106"/>
        <v>0.12</v>
      </c>
    </row>
    <row r="227" spans="1:18" x14ac:dyDescent="0.2">
      <c r="A227" s="125" t="s">
        <v>12</v>
      </c>
      <c r="B227" s="119"/>
      <c r="C227" s="73">
        <f>ROUND(B227/$B231,4)</f>
        <v>0</v>
      </c>
      <c r="D227" s="119">
        <f t="shared" si="107"/>
        <v>1306426.5</v>
      </c>
      <c r="E227" s="120"/>
      <c r="F227" s="120"/>
      <c r="G227" s="120"/>
      <c r="H227" s="120"/>
      <c r="I227" s="120">
        <f t="shared" si="103"/>
        <v>0</v>
      </c>
      <c r="J227" s="120"/>
      <c r="K227" s="120">
        <f t="shared" si="104"/>
        <v>0</v>
      </c>
      <c r="L227" s="120">
        <f>ROUND(I227+(J227*0.145),2)</f>
        <v>0</v>
      </c>
      <c r="M227" s="120">
        <f t="shared" si="112"/>
        <v>120419.59000000001</v>
      </c>
      <c r="N227" s="121">
        <f t="shared" si="108"/>
        <v>161670.84</v>
      </c>
      <c r="O227" s="122" t="str">
        <f t="shared" si="109"/>
        <v/>
      </c>
      <c r="P227" s="122">
        <f t="shared" si="110"/>
        <v>9.1999999999999998E-2</v>
      </c>
      <c r="Q227" s="120" t="str">
        <f t="shared" si="111"/>
        <v/>
      </c>
      <c r="R227" s="120">
        <f t="shared" si="106"/>
        <v>0.12</v>
      </c>
    </row>
    <row r="228" spans="1:18" x14ac:dyDescent="0.2">
      <c r="A228" s="125" t="s">
        <v>13</v>
      </c>
      <c r="B228" s="119"/>
      <c r="C228" s="73">
        <f>ROUND(B228/$B231,4)</f>
        <v>0</v>
      </c>
      <c r="D228" s="119">
        <f t="shared" si="107"/>
        <v>1306426.5</v>
      </c>
      <c r="E228" s="120"/>
      <c r="F228" s="120"/>
      <c r="G228" s="120"/>
      <c r="H228" s="120"/>
      <c r="I228" s="120">
        <f>SUM(E228:H228)</f>
        <v>0</v>
      </c>
      <c r="J228" s="120"/>
      <c r="K228" s="120">
        <f t="shared" si="104"/>
        <v>0</v>
      </c>
      <c r="L228" s="120">
        <f t="shared" ref="L228:L229" si="113">ROUND(I228+(J228*0.145),2)</f>
        <v>0</v>
      </c>
      <c r="M228" s="120">
        <f t="shared" si="112"/>
        <v>120419.59000000001</v>
      </c>
      <c r="N228" s="121">
        <f t="shared" si="108"/>
        <v>161670.84</v>
      </c>
      <c r="O228" s="122" t="str">
        <f t="shared" si="109"/>
        <v/>
      </c>
      <c r="P228" s="122">
        <f t="shared" si="110"/>
        <v>9.1999999999999998E-2</v>
      </c>
      <c r="Q228" s="120" t="str">
        <f t="shared" si="111"/>
        <v/>
      </c>
      <c r="R228" s="120">
        <f t="shared" si="106"/>
        <v>0.12</v>
      </c>
    </row>
    <row r="229" spans="1:18" x14ac:dyDescent="0.2">
      <c r="A229" s="125" t="s">
        <v>14</v>
      </c>
      <c r="B229" s="119"/>
      <c r="C229" s="73">
        <f>ROUND(B229/$B231,4)</f>
        <v>0</v>
      </c>
      <c r="D229" s="119">
        <f t="shared" si="107"/>
        <v>1306426.5</v>
      </c>
      <c r="E229" s="120"/>
      <c r="F229" s="120"/>
      <c r="G229" s="120"/>
      <c r="H229" s="120"/>
      <c r="I229" s="120">
        <f>SUM(E229:H229)</f>
        <v>0</v>
      </c>
      <c r="J229" s="120"/>
      <c r="K229" s="120">
        <f t="shared" si="104"/>
        <v>0</v>
      </c>
      <c r="L229" s="120">
        <f t="shared" si="113"/>
        <v>0</v>
      </c>
      <c r="M229" s="120">
        <f t="shared" si="112"/>
        <v>120419.59000000001</v>
      </c>
      <c r="N229" s="121">
        <f t="shared" si="108"/>
        <v>161670.84</v>
      </c>
      <c r="O229" s="122" t="str">
        <f t="shared" si="109"/>
        <v/>
      </c>
      <c r="P229" s="122">
        <f t="shared" si="110"/>
        <v>9.1999999999999998E-2</v>
      </c>
      <c r="Q229" s="120" t="str">
        <f t="shared" si="111"/>
        <v/>
      </c>
      <c r="R229" s="120">
        <f t="shared" si="106"/>
        <v>0.12</v>
      </c>
    </row>
    <row r="230" spans="1:18" x14ac:dyDescent="0.2">
      <c r="N230" s="57"/>
    </row>
    <row r="231" spans="1:18" x14ac:dyDescent="0.2">
      <c r="A231" s="63" t="s">
        <v>24</v>
      </c>
      <c r="B231" s="50">
        <f>SUM(B218:B229)</f>
        <v>1306426.5</v>
      </c>
      <c r="C231" s="15">
        <f>SUM(C218:C229)</f>
        <v>1</v>
      </c>
      <c r="E231" s="52">
        <f t="shared" ref="E231:M231" si="114">SUM(E218:E229)</f>
        <v>120419.59000000001</v>
      </c>
      <c r="F231" s="52">
        <f t="shared" si="114"/>
        <v>29415.86</v>
      </c>
      <c r="G231" s="52">
        <f t="shared" si="114"/>
        <v>8844.2799999999988</v>
      </c>
      <c r="H231" s="52">
        <f t="shared" si="114"/>
        <v>0</v>
      </c>
      <c r="I231" s="52">
        <f t="shared" si="114"/>
        <v>158679.73000000001</v>
      </c>
      <c r="J231" s="52">
        <f t="shared" si="114"/>
        <v>20628.36</v>
      </c>
      <c r="K231" s="52">
        <f t="shared" si="114"/>
        <v>179308.09000000003</v>
      </c>
      <c r="L231" s="52">
        <f t="shared" si="114"/>
        <v>161670.84</v>
      </c>
      <c r="M231" s="52">
        <f t="shared" si="114"/>
        <v>1369346.4000000001</v>
      </c>
      <c r="N231" s="52"/>
      <c r="Q231" s="52">
        <f>ROUND(L231/B231,2)</f>
        <v>0.12</v>
      </c>
      <c r="R231" s="52"/>
    </row>
  </sheetData>
  <phoneticPr fontId="3" type="noConversion"/>
  <printOptions horizontalCentered="1"/>
  <pageMargins left="0" right="0" top="0.39370078740157483" bottom="0" header="0" footer="0"/>
  <pageSetup scale="64" orientation="landscape" r:id="rId1"/>
  <headerFooter alignWithMargins="0">
    <oddHeader>&amp;L&amp;D&amp;R&amp;Z&amp;F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9"/>
  <sheetViews>
    <sheetView zoomScale="80" zoomScaleNormal="80" workbookViewId="0">
      <pane ySplit="1" topLeftCell="A25" activePane="bottomLeft" state="frozen"/>
      <selection pane="bottomLeft" activeCell="J48" sqref="J48"/>
    </sheetView>
  </sheetViews>
  <sheetFormatPr defaultRowHeight="12.75" x14ac:dyDescent="0.2"/>
  <cols>
    <col min="5" max="5" width="10.140625" bestFit="1" customWidth="1"/>
    <col min="6" max="7" width="10.140625" customWidth="1"/>
    <col min="9" max="9" width="12.85546875" customWidth="1"/>
    <col min="10" max="10" width="13.140625" customWidth="1"/>
    <col min="11" max="11" width="12.28515625" customWidth="1"/>
    <col min="12" max="12" width="10.85546875" customWidth="1"/>
    <col min="13" max="13" width="17" customWidth="1"/>
  </cols>
  <sheetData>
    <row r="1" spans="1:13" ht="51" x14ac:dyDescent="0.2">
      <c r="A1" s="59" t="s">
        <v>132</v>
      </c>
      <c r="B1" s="59" t="s">
        <v>130</v>
      </c>
      <c r="C1" s="59" t="s">
        <v>142</v>
      </c>
      <c r="D1" s="59" t="s">
        <v>133</v>
      </c>
      <c r="E1" s="59" t="s">
        <v>134</v>
      </c>
      <c r="F1" s="59" t="s">
        <v>135</v>
      </c>
      <c r="G1" s="59" t="s">
        <v>136</v>
      </c>
      <c r="H1" s="59" t="s">
        <v>137</v>
      </c>
      <c r="I1" s="59" t="s">
        <v>138</v>
      </c>
      <c r="J1" s="59" t="s">
        <v>34</v>
      </c>
      <c r="K1" s="59" t="s">
        <v>140</v>
      </c>
      <c r="L1" s="59" t="s">
        <v>139</v>
      </c>
    </row>
    <row r="3" spans="1:13" x14ac:dyDescent="0.2">
      <c r="A3" s="86" t="s">
        <v>29</v>
      </c>
      <c r="B3" s="3" t="s">
        <v>145</v>
      </c>
      <c r="C3" s="3" t="s">
        <v>146</v>
      </c>
      <c r="D3" s="86" t="s">
        <v>29</v>
      </c>
      <c r="E3" s="81">
        <v>39678</v>
      </c>
      <c r="F3" s="81">
        <v>39644</v>
      </c>
      <c r="G3" s="81">
        <v>39538</v>
      </c>
      <c r="H3">
        <f>+F3-G3</f>
        <v>106</v>
      </c>
      <c r="I3" s="60">
        <v>10854000</v>
      </c>
      <c r="J3" s="2">
        <v>80807.48</v>
      </c>
      <c r="K3">
        <f>ROUND(I3/H3,0)</f>
        <v>102396</v>
      </c>
      <c r="L3" s="82">
        <f>ROUND(J3/I3,4)</f>
        <v>7.4000000000000003E-3</v>
      </c>
    </row>
    <row r="4" spans="1:13" x14ac:dyDescent="0.2">
      <c r="A4" s="86" t="s">
        <v>29</v>
      </c>
      <c r="B4" s="3" t="s">
        <v>141</v>
      </c>
      <c r="C4" s="3" t="s">
        <v>143</v>
      </c>
      <c r="D4" s="86" t="s">
        <v>29</v>
      </c>
      <c r="E4" s="81">
        <v>39784</v>
      </c>
      <c r="F4" s="81">
        <v>39741</v>
      </c>
      <c r="G4" s="81">
        <v>39644</v>
      </c>
      <c r="H4">
        <f>+F4-G4</f>
        <v>97</v>
      </c>
      <c r="I4" s="60">
        <v>7699000</v>
      </c>
      <c r="J4" s="2">
        <v>62215.42</v>
      </c>
      <c r="K4">
        <f>ROUND(I4/H4,0)</f>
        <v>79371</v>
      </c>
      <c r="L4" s="82">
        <f>ROUND(J4/I4,4)</f>
        <v>8.0999999999999996E-3</v>
      </c>
    </row>
    <row r="5" spans="1:13" x14ac:dyDescent="0.2">
      <c r="A5" s="86" t="s">
        <v>29</v>
      </c>
      <c r="B5" s="3" t="s">
        <v>131</v>
      </c>
      <c r="C5" s="3" t="s">
        <v>144</v>
      </c>
      <c r="D5" s="86" t="s">
        <v>29</v>
      </c>
      <c r="E5" s="81">
        <v>39861</v>
      </c>
      <c r="F5" s="81">
        <v>39841</v>
      </c>
      <c r="G5" s="81">
        <v>39741</v>
      </c>
      <c r="H5">
        <f>+F5-G5</f>
        <v>100</v>
      </c>
      <c r="I5" s="60">
        <v>7479000</v>
      </c>
      <c r="J5" s="2">
        <v>60437.82</v>
      </c>
      <c r="K5">
        <f>ROUND(I5/H5,0)</f>
        <v>74790</v>
      </c>
      <c r="L5" s="82">
        <f>ROUND(J5/I5,4)</f>
        <v>8.0999999999999996E-3</v>
      </c>
    </row>
    <row r="6" spans="1:13" x14ac:dyDescent="0.2">
      <c r="A6" s="3" t="s">
        <v>29</v>
      </c>
      <c r="B6" s="3" t="s">
        <v>147</v>
      </c>
      <c r="C6" s="3" t="s">
        <v>148</v>
      </c>
      <c r="D6" s="3" t="s">
        <v>57</v>
      </c>
      <c r="E6" s="81">
        <v>39974</v>
      </c>
      <c r="F6" s="81">
        <v>39940</v>
      </c>
      <c r="G6" s="81">
        <v>39841</v>
      </c>
      <c r="H6">
        <f>+F6-G6</f>
        <v>99</v>
      </c>
      <c r="I6" s="60">
        <v>9207000</v>
      </c>
      <c r="J6" s="2">
        <v>80447.22</v>
      </c>
      <c r="K6">
        <f>ROUND(I6/H6,0)</f>
        <v>93000</v>
      </c>
      <c r="L6" s="82">
        <f>ROUND(J6/I6,4)</f>
        <v>8.6999999999999994E-3</v>
      </c>
    </row>
    <row r="7" spans="1:13" x14ac:dyDescent="0.2">
      <c r="A7" s="3"/>
      <c r="B7" s="3"/>
      <c r="C7" s="3"/>
      <c r="D7" s="3"/>
      <c r="E7" s="81"/>
      <c r="F7" s="81"/>
      <c r="G7" s="81"/>
      <c r="H7" s="83">
        <f>SUM(H3:H6)</f>
        <v>402</v>
      </c>
      <c r="I7" s="84">
        <f>SUM(I3:I6)</f>
        <v>35239000</v>
      </c>
      <c r="J7" s="2"/>
      <c r="K7" s="83">
        <f>ROUND(I7/H7,0)</f>
        <v>87659</v>
      </c>
      <c r="L7" s="82"/>
      <c r="M7" s="4">
        <f>SUM(J3:J6)</f>
        <v>283907.94</v>
      </c>
    </row>
    <row r="8" spans="1:13" x14ac:dyDescent="0.2">
      <c r="A8" s="3"/>
      <c r="B8" s="3"/>
      <c r="C8" s="3"/>
      <c r="D8" s="3"/>
    </row>
    <row r="9" spans="1:13" x14ac:dyDescent="0.2">
      <c r="A9" s="3"/>
      <c r="B9" s="3"/>
      <c r="C9" s="3"/>
      <c r="D9" s="3"/>
    </row>
    <row r="10" spans="1:13" x14ac:dyDescent="0.2">
      <c r="A10" s="86" t="s">
        <v>57</v>
      </c>
      <c r="B10" s="3" t="s">
        <v>145</v>
      </c>
      <c r="C10" s="3" t="s">
        <v>146</v>
      </c>
      <c r="D10" s="86" t="s">
        <v>57</v>
      </c>
      <c r="E10" s="81">
        <v>40043</v>
      </c>
      <c r="F10" s="81">
        <v>40008</v>
      </c>
      <c r="G10" s="81">
        <v>39940</v>
      </c>
      <c r="H10">
        <f>+F10-G10</f>
        <v>68</v>
      </c>
      <c r="I10" s="60">
        <v>5810000</v>
      </c>
      <c r="J10" s="2">
        <v>50768.31</v>
      </c>
      <c r="K10">
        <f>ROUND(I10/H10,0)</f>
        <v>85441</v>
      </c>
      <c r="L10" s="82">
        <f>ROUND(J10/I10,4)</f>
        <v>8.6999999999999994E-3</v>
      </c>
    </row>
    <row r="11" spans="1:13" x14ac:dyDescent="0.2">
      <c r="A11" s="86" t="s">
        <v>57</v>
      </c>
      <c r="B11" s="3" t="s">
        <v>141</v>
      </c>
      <c r="C11" s="3" t="s">
        <v>143</v>
      </c>
      <c r="D11" s="86" t="s">
        <v>57</v>
      </c>
      <c r="E11" s="81">
        <v>40143</v>
      </c>
      <c r="F11" s="81">
        <v>40119</v>
      </c>
      <c r="G11" s="81">
        <v>40008</v>
      </c>
      <c r="H11">
        <f>+F11-G11</f>
        <v>111</v>
      </c>
      <c r="I11" s="60">
        <v>8790000</v>
      </c>
      <c r="J11" s="2">
        <v>76803.97</v>
      </c>
      <c r="K11">
        <f>ROUND(I11/H11,0)</f>
        <v>79189</v>
      </c>
      <c r="L11" s="82">
        <f>ROUND(J11/I11,4)</f>
        <v>8.6999999999999994E-3</v>
      </c>
    </row>
    <row r="12" spans="1:13" x14ac:dyDescent="0.2">
      <c r="A12" s="86" t="s">
        <v>57</v>
      </c>
      <c r="B12" s="3" t="s">
        <v>131</v>
      </c>
      <c r="C12" s="3" t="s">
        <v>144</v>
      </c>
      <c r="D12" s="86" t="s">
        <v>57</v>
      </c>
      <c r="E12" s="81">
        <v>40234</v>
      </c>
      <c r="F12" s="81">
        <v>40218</v>
      </c>
      <c r="G12" s="81">
        <v>40119</v>
      </c>
      <c r="H12">
        <f>+F12-G12</f>
        <v>99</v>
      </c>
      <c r="I12" s="60">
        <v>6960000</v>
      </c>
      <c r="J12" s="2">
        <v>60815.63</v>
      </c>
      <c r="K12">
        <f>ROUND(I12/H12,0)</f>
        <v>70303</v>
      </c>
      <c r="L12" s="82">
        <f>ROUND(J12/I12,4)</f>
        <v>8.6999999999999994E-3</v>
      </c>
    </row>
    <row r="13" spans="1:13" x14ac:dyDescent="0.2">
      <c r="A13" s="86" t="s">
        <v>57</v>
      </c>
      <c r="B13" s="3" t="s">
        <v>147</v>
      </c>
      <c r="C13" s="3" t="s">
        <v>148</v>
      </c>
      <c r="D13" s="86" t="s">
        <v>61</v>
      </c>
      <c r="E13" s="81">
        <v>40309</v>
      </c>
      <c r="F13" s="81">
        <v>40289</v>
      </c>
      <c r="G13" s="81">
        <v>40218</v>
      </c>
      <c r="H13">
        <f>+F13-G13</f>
        <v>71</v>
      </c>
      <c r="I13" s="60">
        <v>5146000</v>
      </c>
      <c r="J13" s="2">
        <v>48150.9</v>
      </c>
      <c r="K13">
        <f>ROUND(I13/H13,0)</f>
        <v>72479</v>
      </c>
      <c r="L13" s="82">
        <f>ROUND(J13/I13,4)</f>
        <v>9.4000000000000004E-3</v>
      </c>
    </row>
    <row r="14" spans="1:13" x14ac:dyDescent="0.2">
      <c r="A14" s="86"/>
      <c r="B14" s="3"/>
      <c r="C14" s="3"/>
      <c r="D14" s="86"/>
      <c r="E14" s="81"/>
      <c r="F14" s="81"/>
      <c r="G14" s="81"/>
      <c r="H14" s="83">
        <f>SUM(H10:H13)</f>
        <v>349</v>
      </c>
      <c r="I14" s="84">
        <f>SUM(I10:I13)</f>
        <v>26706000</v>
      </c>
      <c r="J14" s="2"/>
      <c r="K14" s="83">
        <f>ROUND(I14/H14,0)</f>
        <v>76521</v>
      </c>
      <c r="L14" s="82"/>
      <c r="M14" s="4">
        <f>SUM(J10:J13)</f>
        <v>236538.81</v>
      </c>
    </row>
    <row r="15" spans="1:13" x14ac:dyDescent="0.2">
      <c r="A15" s="3"/>
      <c r="B15" s="3"/>
      <c r="C15" s="3"/>
      <c r="D15" s="3"/>
    </row>
    <row r="16" spans="1:13" x14ac:dyDescent="0.2">
      <c r="A16" s="3"/>
      <c r="B16" s="3"/>
      <c r="C16" s="3"/>
      <c r="D16" s="3"/>
    </row>
    <row r="17" spans="1:13" x14ac:dyDescent="0.2">
      <c r="A17" s="86" t="s">
        <v>61</v>
      </c>
      <c r="B17" s="3" t="s">
        <v>145</v>
      </c>
      <c r="C17" s="3" t="s">
        <v>146</v>
      </c>
      <c r="D17" s="86" t="s">
        <v>61</v>
      </c>
      <c r="E17" s="81">
        <v>40380</v>
      </c>
      <c r="F17" s="81">
        <v>40358</v>
      </c>
      <c r="G17" s="81">
        <v>40289</v>
      </c>
      <c r="H17">
        <f>+F17-G17</f>
        <v>69</v>
      </c>
      <c r="I17" s="60">
        <v>5077000</v>
      </c>
      <c r="J17" s="2">
        <v>47505.37</v>
      </c>
      <c r="K17">
        <f>ROUND(I17/H17,0)</f>
        <v>73580</v>
      </c>
      <c r="L17" s="82">
        <f>ROUND(J17/I17,4)</f>
        <v>9.4000000000000004E-3</v>
      </c>
    </row>
    <row r="18" spans="1:13" x14ac:dyDescent="0.2">
      <c r="A18" s="86" t="s">
        <v>61</v>
      </c>
      <c r="B18" s="3" t="s">
        <v>141</v>
      </c>
      <c r="C18" s="3" t="s">
        <v>143</v>
      </c>
      <c r="D18" s="86" t="s">
        <v>61</v>
      </c>
      <c r="E18" s="81">
        <v>40508</v>
      </c>
      <c r="F18" s="81">
        <v>40457</v>
      </c>
      <c r="G18" s="81">
        <v>40358</v>
      </c>
      <c r="H18">
        <f>+F18-G18</f>
        <v>99</v>
      </c>
      <c r="I18" s="60">
        <v>7635000</v>
      </c>
      <c r="J18" s="2">
        <v>71436.740000000005</v>
      </c>
      <c r="K18">
        <f>ROUND(I18/H18,0)</f>
        <v>77121</v>
      </c>
      <c r="L18" s="82">
        <f>ROUND(J18/I18,4)</f>
        <v>9.4000000000000004E-3</v>
      </c>
    </row>
    <row r="19" spans="1:13" x14ac:dyDescent="0.2">
      <c r="A19" s="86" t="s">
        <v>61</v>
      </c>
      <c r="B19" s="3" t="s">
        <v>131</v>
      </c>
      <c r="C19" s="3" t="s">
        <v>144</v>
      </c>
      <c r="D19" s="86" t="s">
        <v>61</v>
      </c>
      <c r="E19" s="81">
        <v>40561</v>
      </c>
      <c r="F19" s="81">
        <v>40520</v>
      </c>
      <c r="G19" s="81">
        <v>40457</v>
      </c>
      <c r="H19">
        <f>+F19-G19</f>
        <v>63</v>
      </c>
      <c r="I19" s="60">
        <v>4155000</v>
      </c>
      <c r="J19" s="2">
        <v>38879.599999999999</v>
      </c>
      <c r="K19">
        <f>ROUND(I19/H19,0)</f>
        <v>65952</v>
      </c>
      <c r="L19" s="82">
        <f>ROUND(J19/I19,4)</f>
        <v>9.4000000000000004E-3</v>
      </c>
    </row>
    <row r="20" spans="1:13" x14ac:dyDescent="0.2">
      <c r="A20" s="86" t="s">
        <v>61</v>
      </c>
      <c r="B20" s="3" t="s">
        <v>147</v>
      </c>
      <c r="C20" s="3" t="s">
        <v>148</v>
      </c>
      <c r="D20" s="86" t="s">
        <v>124</v>
      </c>
      <c r="E20" s="81">
        <v>40682</v>
      </c>
      <c r="F20" s="81">
        <v>40638</v>
      </c>
      <c r="G20" s="81">
        <v>40520</v>
      </c>
      <c r="H20">
        <f>+F20-G20</f>
        <v>118</v>
      </c>
      <c r="I20" s="60">
        <v>8201000</v>
      </c>
      <c r="J20" s="2">
        <v>81862.67</v>
      </c>
      <c r="K20">
        <f>ROUND(I20/H20,0)</f>
        <v>69500</v>
      </c>
      <c r="L20" s="82">
        <f>ROUND(J20/I20,4)</f>
        <v>0.01</v>
      </c>
    </row>
    <row r="21" spans="1:13" x14ac:dyDescent="0.2">
      <c r="A21" s="86"/>
      <c r="B21" s="3"/>
      <c r="C21" s="3"/>
      <c r="D21" s="86"/>
      <c r="E21" s="81"/>
      <c r="F21" s="81"/>
      <c r="G21" s="81"/>
      <c r="H21" s="83">
        <f>SUM(H17:H20)</f>
        <v>349</v>
      </c>
      <c r="I21" s="84">
        <f>SUM(I17:I20)</f>
        <v>25068000</v>
      </c>
      <c r="J21" s="2"/>
      <c r="K21" s="83">
        <f>ROUND(I21/H21,0)</f>
        <v>71828</v>
      </c>
      <c r="L21" s="82"/>
      <c r="M21" s="4">
        <f>SUM(J17:J20)</f>
        <v>239684.38</v>
      </c>
    </row>
    <row r="22" spans="1:13" x14ac:dyDescent="0.2">
      <c r="A22" s="86"/>
      <c r="B22" s="3"/>
      <c r="C22" s="3"/>
      <c r="D22" s="86"/>
      <c r="E22" s="81"/>
      <c r="F22" s="81"/>
      <c r="G22" s="81"/>
      <c r="I22" s="60"/>
      <c r="J22" s="2"/>
      <c r="L22" s="82"/>
    </row>
    <row r="23" spans="1:13" x14ac:dyDescent="0.2">
      <c r="A23" s="3"/>
      <c r="B23" s="3"/>
      <c r="C23" s="3"/>
      <c r="D23" s="3"/>
    </row>
    <row r="24" spans="1:13" x14ac:dyDescent="0.2">
      <c r="A24" s="86" t="s">
        <v>124</v>
      </c>
      <c r="B24" s="3" t="s">
        <v>145</v>
      </c>
      <c r="C24" s="3" t="s">
        <v>146</v>
      </c>
      <c r="D24" s="86" t="s">
        <v>124</v>
      </c>
      <c r="E24" s="81">
        <v>40743</v>
      </c>
      <c r="F24" s="81">
        <v>40731</v>
      </c>
      <c r="G24" s="81">
        <v>40638</v>
      </c>
      <c r="H24">
        <f>+F24-G24</f>
        <v>93</v>
      </c>
      <c r="I24" s="60">
        <v>6118000</v>
      </c>
      <c r="J24" s="2">
        <v>61071.99</v>
      </c>
      <c r="K24">
        <f>ROUND(I24/H24,0)</f>
        <v>65785</v>
      </c>
      <c r="L24" s="82">
        <f>ROUND(J24/I24,4)</f>
        <v>0.01</v>
      </c>
    </row>
    <row r="25" spans="1:13" x14ac:dyDescent="0.2">
      <c r="A25" s="86" t="s">
        <v>124</v>
      </c>
      <c r="B25" s="3" t="s">
        <v>141</v>
      </c>
      <c r="C25" s="3" t="s">
        <v>143</v>
      </c>
      <c r="D25" s="86" t="s">
        <v>124</v>
      </c>
      <c r="E25" s="81">
        <v>40844</v>
      </c>
      <c r="F25" s="81">
        <v>40800</v>
      </c>
      <c r="G25" s="81">
        <v>40731</v>
      </c>
      <c r="H25">
        <f>+F25-G25</f>
        <v>69</v>
      </c>
      <c r="I25" s="60">
        <v>5244000</v>
      </c>
      <c r="J25" s="2">
        <v>52348.49</v>
      </c>
      <c r="K25">
        <f>ROUND(I25/H25,0)</f>
        <v>76000</v>
      </c>
      <c r="L25" s="82">
        <f>ROUND(J25/I25,4)</f>
        <v>0.01</v>
      </c>
    </row>
    <row r="26" spans="1:13" x14ac:dyDescent="0.2">
      <c r="A26" s="86" t="s">
        <v>124</v>
      </c>
      <c r="B26" s="3" t="s">
        <v>131</v>
      </c>
      <c r="C26" s="3" t="s">
        <v>144</v>
      </c>
      <c r="D26" s="86" t="s">
        <v>124</v>
      </c>
      <c r="E26" s="81">
        <v>40920</v>
      </c>
      <c r="F26" s="81">
        <v>40885</v>
      </c>
      <c r="G26" s="81">
        <v>40800</v>
      </c>
      <c r="H26">
        <f>+F26-G26</f>
        <v>85</v>
      </c>
      <c r="I26" s="60">
        <v>6392000</v>
      </c>
      <c r="J26" s="2">
        <v>63806.82</v>
      </c>
      <c r="K26">
        <f>ROUND(I26/H26,0)</f>
        <v>75200</v>
      </c>
      <c r="L26" s="82">
        <f>ROUND(J26/I26,4)</f>
        <v>0.01</v>
      </c>
    </row>
    <row r="27" spans="1:13" x14ac:dyDescent="0.2">
      <c r="A27" s="86" t="s">
        <v>124</v>
      </c>
      <c r="B27" s="3" t="s">
        <v>147</v>
      </c>
      <c r="C27" s="3" t="s">
        <v>148</v>
      </c>
      <c r="D27" s="3" t="s">
        <v>150</v>
      </c>
      <c r="E27" s="81">
        <v>41025</v>
      </c>
      <c r="F27" s="81">
        <v>40995</v>
      </c>
      <c r="G27" s="81">
        <v>40885</v>
      </c>
      <c r="H27" s="85">
        <f>+F27-G27</f>
        <v>110</v>
      </c>
      <c r="I27" s="111">
        <v>7400000</v>
      </c>
      <c r="J27" s="112">
        <v>78430.89</v>
      </c>
      <c r="K27">
        <f>ROUND(I27/H27,0)</f>
        <v>67273</v>
      </c>
      <c r="L27" s="82">
        <f>ROUND(J27/I27,4)</f>
        <v>1.06E-2</v>
      </c>
    </row>
    <row r="28" spans="1:13" x14ac:dyDescent="0.2">
      <c r="H28" s="83">
        <f>SUM(H24:H27)</f>
        <v>357</v>
      </c>
      <c r="I28" s="113">
        <f>SUM(I24:I27)</f>
        <v>25154000</v>
      </c>
      <c r="J28" s="117">
        <f>SUM(J24:J27)</f>
        <v>255658.19</v>
      </c>
      <c r="K28" s="83">
        <f>ROUND(I28/H28,0)</f>
        <v>70459</v>
      </c>
      <c r="L28" s="118">
        <f>ROUND(J28/I28,4)</f>
        <v>1.0200000000000001E-2</v>
      </c>
      <c r="M28" s="4">
        <f>SUM(J24:J27)</f>
        <v>255658.19</v>
      </c>
    </row>
    <row r="31" spans="1:13" x14ac:dyDescent="0.2">
      <c r="A31" s="86" t="s">
        <v>150</v>
      </c>
      <c r="B31" s="3" t="s">
        <v>145</v>
      </c>
      <c r="C31" s="3" t="s">
        <v>146</v>
      </c>
      <c r="D31" s="86" t="s">
        <v>150</v>
      </c>
      <c r="E31" s="81">
        <v>41106</v>
      </c>
      <c r="F31" s="81">
        <v>41086</v>
      </c>
      <c r="G31" s="81">
        <v>40995</v>
      </c>
      <c r="H31">
        <f>+F31-G31</f>
        <v>91</v>
      </c>
      <c r="I31" s="111">
        <v>6646000</v>
      </c>
      <c r="J31" s="112">
        <v>70440.19</v>
      </c>
      <c r="K31">
        <f>ROUND(I31/H31,0)</f>
        <v>73033</v>
      </c>
      <c r="L31" s="82">
        <f>ROUND(J31/I31,4)</f>
        <v>1.06E-2</v>
      </c>
    </row>
    <row r="32" spans="1:13" x14ac:dyDescent="0.2">
      <c r="A32" s="86" t="s">
        <v>150</v>
      </c>
      <c r="B32" s="3" t="s">
        <v>141</v>
      </c>
      <c r="C32" s="3" t="s">
        <v>143</v>
      </c>
      <c r="D32" s="86" t="s">
        <v>150</v>
      </c>
      <c r="E32" s="81">
        <v>41226</v>
      </c>
      <c r="F32" s="81">
        <v>41193</v>
      </c>
      <c r="G32" s="81">
        <v>41086</v>
      </c>
      <c r="H32">
        <f>+F32-G32</f>
        <v>107</v>
      </c>
      <c r="I32" s="111">
        <v>8409000</v>
      </c>
      <c r="J32" s="112">
        <v>89124.03</v>
      </c>
      <c r="K32">
        <f>ROUND(I32/H32,0)</f>
        <v>78589</v>
      </c>
      <c r="L32" s="82">
        <f>ROUND(J32/I32,4)</f>
        <v>1.06E-2</v>
      </c>
    </row>
    <row r="33" spans="1:13" x14ac:dyDescent="0.2">
      <c r="A33" s="86" t="s">
        <v>150</v>
      </c>
      <c r="B33" s="3" t="s">
        <v>131</v>
      </c>
      <c r="C33" s="3" t="s">
        <v>144</v>
      </c>
      <c r="D33" s="86" t="s">
        <v>150</v>
      </c>
      <c r="E33" s="81">
        <v>41305</v>
      </c>
      <c r="F33" s="81">
        <v>41284</v>
      </c>
      <c r="G33" s="81">
        <v>41193</v>
      </c>
      <c r="H33">
        <f>+F33-G33</f>
        <v>91</v>
      </c>
      <c r="I33" s="111">
        <v>6268000</v>
      </c>
      <c r="J33" s="112">
        <v>66434.23</v>
      </c>
      <c r="K33">
        <f>ROUND(I33/H33,0)</f>
        <v>68879</v>
      </c>
      <c r="L33" s="82">
        <f>ROUND(J33/I33,4)</f>
        <v>1.06E-2</v>
      </c>
    </row>
    <row r="34" spans="1:13" x14ac:dyDescent="0.2">
      <c r="A34" s="86" t="s">
        <v>150</v>
      </c>
      <c r="B34" s="3" t="s">
        <v>147</v>
      </c>
      <c r="C34" s="3" t="s">
        <v>148</v>
      </c>
      <c r="D34" s="86" t="s">
        <v>151</v>
      </c>
      <c r="E34" s="81">
        <v>41389</v>
      </c>
      <c r="F34" s="81">
        <v>41367</v>
      </c>
      <c r="G34" s="81">
        <v>41284</v>
      </c>
      <c r="H34" s="85">
        <f>+F34-G34</f>
        <v>83</v>
      </c>
      <c r="I34" s="111">
        <v>5563000</v>
      </c>
      <c r="J34" s="112">
        <v>62393.59</v>
      </c>
      <c r="K34">
        <f>ROUND(I34/H34,0)</f>
        <v>67024</v>
      </c>
      <c r="L34" s="82">
        <f>ROUND(J34/I34,4)</f>
        <v>1.12E-2</v>
      </c>
    </row>
    <row r="35" spans="1:13" x14ac:dyDescent="0.2">
      <c r="H35" s="83">
        <f>SUM(H31:H34)</f>
        <v>372</v>
      </c>
      <c r="I35" s="113">
        <f>SUM(I31:I34)</f>
        <v>26886000</v>
      </c>
      <c r="J35" s="117">
        <f>SUM(J31:J34)</f>
        <v>288392.04000000004</v>
      </c>
      <c r="K35" s="83">
        <f>ROUND(I35/H35,0)</f>
        <v>72274</v>
      </c>
      <c r="L35" s="118">
        <f>ROUND(J35/I35,4)</f>
        <v>1.0699999999999999E-2</v>
      </c>
      <c r="M35" s="4">
        <f>SUM(J31:J34)</f>
        <v>288392.04000000004</v>
      </c>
    </row>
    <row r="38" spans="1:13" x14ac:dyDescent="0.2">
      <c r="A38" s="114" t="s">
        <v>151</v>
      </c>
      <c r="B38" s="3" t="s">
        <v>145</v>
      </c>
      <c r="C38" s="3" t="s">
        <v>146</v>
      </c>
      <c r="D38" s="86" t="s">
        <v>151</v>
      </c>
      <c r="E38" s="81">
        <v>41488</v>
      </c>
      <c r="F38" s="81">
        <v>41436</v>
      </c>
      <c r="G38" s="81">
        <v>41367</v>
      </c>
      <c r="H38">
        <f>+F38-G38</f>
        <v>69</v>
      </c>
      <c r="I38" s="111">
        <v>4554000</v>
      </c>
      <c r="J38" s="112">
        <v>51078.19</v>
      </c>
      <c r="K38">
        <f>ROUND(I38/H38,0)</f>
        <v>66000</v>
      </c>
      <c r="L38" s="82">
        <f>ROUND(J38/I38,4)</f>
        <v>1.12E-2</v>
      </c>
    </row>
    <row r="39" spans="1:13" x14ac:dyDescent="0.2">
      <c r="A39" s="114" t="s">
        <v>151</v>
      </c>
      <c r="B39" s="3" t="s">
        <v>141</v>
      </c>
      <c r="C39" s="3" t="s">
        <v>143</v>
      </c>
      <c r="D39" s="86" t="s">
        <v>151</v>
      </c>
      <c r="E39" s="81">
        <v>41578</v>
      </c>
      <c r="F39" s="81">
        <v>41541</v>
      </c>
      <c r="G39" s="81">
        <v>41436</v>
      </c>
      <c r="H39">
        <f>+F39-G39</f>
        <v>105</v>
      </c>
      <c r="I39" s="111">
        <v>8200000</v>
      </c>
      <c r="J39" s="112">
        <v>91966.14</v>
      </c>
      <c r="K39">
        <f>ROUND(I39/H39,0)</f>
        <v>78095</v>
      </c>
      <c r="L39" s="82">
        <f>ROUND(J39/I39,4)</f>
        <v>1.12E-2</v>
      </c>
    </row>
    <row r="40" spans="1:13" x14ac:dyDescent="0.2">
      <c r="A40" s="114" t="s">
        <v>151</v>
      </c>
      <c r="B40" s="3" t="s">
        <v>131</v>
      </c>
      <c r="C40" s="3" t="s">
        <v>144</v>
      </c>
      <c r="D40" s="86" t="s">
        <v>151</v>
      </c>
      <c r="E40" s="115">
        <v>41684</v>
      </c>
      <c r="F40" s="115">
        <v>41648</v>
      </c>
      <c r="G40" s="115">
        <v>41541</v>
      </c>
      <c r="H40">
        <f>+F40-G40</f>
        <v>107</v>
      </c>
      <c r="I40" s="111">
        <v>7535000</v>
      </c>
      <c r="J40" s="112">
        <v>84508.52</v>
      </c>
      <c r="K40">
        <f>ROUND(I40/H40,0)</f>
        <v>70421</v>
      </c>
      <c r="L40" s="82">
        <f>ROUND(J40/I40,4)</f>
        <v>1.12E-2</v>
      </c>
    </row>
    <row r="41" spans="1:13" x14ac:dyDescent="0.2">
      <c r="A41" s="114" t="s">
        <v>151</v>
      </c>
      <c r="B41" s="3" t="s">
        <v>147</v>
      </c>
      <c r="C41" s="3" t="s">
        <v>148</v>
      </c>
      <c r="D41" s="86" t="s">
        <v>153</v>
      </c>
      <c r="E41" s="115">
        <v>41752</v>
      </c>
      <c r="F41" s="115">
        <v>41723</v>
      </c>
      <c r="G41" s="115">
        <v>41648</v>
      </c>
      <c r="H41" s="85">
        <f>+F41-G41</f>
        <v>75</v>
      </c>
      <c r="I41" s="111">
        <v>4953000</v>
      </c>
      <c r="J41" s="112">
        <v>58603.17</v>
      </c>
      <c r="K41">
        <f>ROUND(I41/H41,0)</f>
        <v>66040</v>
      </c>
      <c r="L41" s="82">
        <f>ROUND(J41/I41,4)</f>
        <v>1.18E-2</v>
      </c>
    </row>
    <row r="42" spans="1:13" x14ac:dyDescent="0.2">
      <c r="H42" s="83">
        <f>SUM(H38:H41)</f>
        <v>356</v>
      </c>
      <c r="I42" s="113">
        <f>SUM(I38:I41)</f>
        <v>25242000</v>
      </c>
      <c r="J42" s="117">
        <f>SUM(J38:J41)</f>
        <v>286156.02</v>
      </c>
      <c r="K42" s="83">
        <f>ROUND(I42/H42,0)</f>
        <v>70904</v>
      </c>
      <c r="L42" s="118">
        <f>ROUND(J42/I42,4)</f>
        <v>1.1299999999999999E-2</v>
      </c>
      <c r="M42" s="4">
        <f>SUM(J38:J41)</f>
        <v>286156.02</v>
      </c>
    </row>
    <row r="45" spans="1:13" x14ac:dyDescent="0.2">
      <c r="A45" s="114" t="s">
        <v>153</v>
      </c>
      <c r="B45" s="3" t="s">
        <v>145</v>
      </c>
      <c r="C45" s="3" t="s">
        <v>146</v>
      </c>
      <c r="D45" s="114" t="s">
        <v>153</v>
      </c>
      <c r="E45" s="115">
        <v>41858</v>
      </c>
      <c r="F45" s="81">
        <v>41806</v>
      </c>
      <c r="G45" s="81">
        <v>41723</v>
      </c>
      <c r="H45">
        <f>+F45-G45</f>
        <v>83</v>
      </c>
      <c r="I45" s="111">
        <v>5907000</v>
      </c>
      <c r="J45" s="112">
        <v>69889.320000000007</v>
      </c>
      <c r="K45">
        <f>ROUND(I45/H45,0)</f>
        <v>71169</v>
      </c>
      <c r="L45" s="82">
        <f>ROUND(J45/I45,4)</f>
        <v>1.18E-2</v>
      </c>
    </row>
    <row r="46" spans="1:13" x14ac:dyDescent="0.2">
      <c r="A46" s="114" t="s">
        <v>153</v>
      </c>
      <c r="B46" s="3" t="s">
        <v>141</v>
      </c>
      <c r="C46" s="3" t="s">
        <v>143</v>
      </c>
      <c r="D46" s="86" t="s">
        <v>151</v>
      </c>
      <c r="E46" s="81">
        <v>41578</v>
      </c>
      <c r="F46" s="81">
        <v>41541</v>
      </c>
      <c r="G46" s="81">
        <v>41436</v>
      </c>
      <c r="H46">
        <f>+F46-G46</f>
        <v>105</v>
      </c>
      <c r="I46" s="111">
        <v>0</v>
      </c>
      <c r="J46" s="112">
        <v>0</v>
      </c>
      <c r="K46">
        <f>ROUND(I46/H46,0)</f>
        <v>0</v>
      </c>
      <c r="L46" s="82" t="e">
        <f>ROUND(J46/I46,4)</f>
        <v>#DIV/0!</v>
      </c>
    </row>
    <row r="47" spans="1:13" x14ac:dyDescent="0.2">
      <c r="A47" s="114" t="s">
        <v>153</v>
      </c>
      <c r="B47" s="3" t="s">
        <v>131</v>
      </c>
      <c r="C47" s="3" t="s">
        <v>144</v>
      </c>
      <c r="D47" s="86" t="s">
        <v>151</v>
      </c>
      <c r="E47" s="115">
        <v>41684</v>
      </c>
      <c r="F47" s="115">
        <v>41648</v>
      </c>
      <c r="G47" s="115">
        <v>41541</v>
      </c>
      <c r="H47">
        <f>+F47-G47</f>
        <v>107</v>
      </c>
      <c r="I47" s="111">
        <v>0</v>
      </c>
      <c r="J47" s="112">
        <v>0</v>
      </c>
      <c r="K47">
        <f>ROUND(I47/H47,0)</f>
        <v>0</v>
      </c>
      <c r="L47" s="82" t="e">
        <f>ROUND(J47/I47,4)</f>
        <v>#DIV/0!</v>
      </c>
    </row>
    <row r="48" spans="1:13" x14ac:dyDescent="0.2">
      <c r="A48" s="114" t="s">
        <v>153</v>
      </c>
      <c r="B48" s="3" t="s">
        <v>147</v>
      </c>
      <c r="C48" s="3" t="s">
        <v>148</v>
      </c>
      <c r="D48" s="86" t="s">
        <v>153</v>
      </c>
      <c r="E48" s="115">
        <v>41752</v>
      </c>
      <c r="F48" s="115">
        <v>41723</v>
      </c>
      <c r="G48" s="115">
        <v>41648</v>
      </c>
      <c r="H48" s="85">
        <f>+F48-G48</f>
        <v>75</v>
      </c>
      <c r="I48" s="111">
        <v>0</v>
      </c>
      <c r="J48" s="112">
        <v>0</v>
      </c>
      <c r="K48">
        <f>ROUND(I48/H48,0)</f>
        <v>0</v>
      </c>
      <c r="L48" s="82" t="e">
        <f>ROUND(J48/I48,4)</f>
        <v>#DIV/0!</v>
      </c>
    </row>
    <row r="49" spans="8:13" x14ac:dyDescent="0.2">
      <c r="H49" s="83">
        <f>SUM(H45:H48)</f>
        <v>370</v>
      </c>
      <c r="I49" s="113">
        <f>SUM(I45:I48)</f>
        <v>5907000</v>
      </c>
      <c r="J49" s="117">
        <f>SUM(J45:J48)</f>
        <v>69889.320000000007</v>
      </c>
      <c r="K49" s="83">
        <f>ROUND(I49/H49,0)</f>
        <v>15965</v>
      </c>
      <c r="L49" s="118">
        <f>ROUND(J49/I49,4)</f>
        <v>1.18E-2</v>
      </c>
      <c r="M49" s="4">
        <f>SUM(J45:J48)</f>
        <v>69889.320000000007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6"/>
  <sheetViews>
    <sheetView topLeftCell="A43" zoomScale="80" workbookViewId="0">
      <selection activeCell="L59" sqref="L59"/>
    </sheetView>
  </sheetViews>
  <sheetFormatPr defaultRowHeight="12.75" x14ac:dyDescent="0.2"/>
  <cols>
    <col min="1" max="1" width="10.85546875" customWidth="1"/>
    <col min="2" max="2" width="10.7109375" hidden="1" customWidth="1"/>
    <col min="3" max="5" width="10.7109375" customWidth="1"/>
    <col min="6" max="6" width="10.7109375" hidden="1" customWidth="1"/>
    <col min="7" max="9" width="10.7109375" customWidth="1"/>
    <col min="10" max="10" width="10.7109375" hidden="1" customWidth="1"/>
    <col min="11" max="11" width="10.7109375" customWidth="1"/>
    <col min="12" max="12" width="11.42578125" customWidth="1"/>
    <col min="13" max="13" width="10.7109375" customWidth="1"/>
    <col min="14" max="14" width="10.7109375" hidden="1" customWidth="1"/>
    <col min="15" max="17" width="10.7109375" customWidth="1"/>
  </cols>
  <sheetData>
    <row r="1" spans="1:17" x14ac:dyDescent="0.2">
      <c r="A1" t="s">
        <v>0</v>
      </c>
    </row>
    <row r="3" spans="1:17" x14ac:dyDescent="0.2">
      <c r="A3" t="s">
        <v>35</v>
      </c>
    </row>
    <row r="5" spans="1:17" x14ac:dyDescent="0.2">
      <c r="A5" s="5"/>
      <c r="B5" s="6"/>
      <c r="C5" s="6"/>
      <c r="D5" s="6"/>
      <c r="E5" s="6"/>
      <c r="F5" s="7" t="s">
        <v>2</v>
      </c>
      <c r="G5" s="7" t="s">
        <v>26</v>
      </c>
      <c r="H5" s="7" t="s">
        <v>27</v>
      </c>
      <c r="I5" s="7" t="s">
        <v>29</v>
      </c>
      <c r="J5" s="7" t="s">
        <v>2</v>
      </c>
      <c r="K5" s="7" t="s">
        <v>26</v>
      </c>
      <c r="L5" s="7" t="s">
        <v>27</v>
      </c>
      <c r="M5" s="7" t="s">
        <v>29</v>
      </c>
      <c r="N5" s="7" t="s">
        <v>2</v>
      </c>
      <c r="O5" s="6" t="s">
        <v>26</v>
      </c>
      <c r="P5" s="6" t="s">
        <v>27</v>
      </c>
      <c r="Q5" s="6" t="s">
        <v>29</v>
      </c>
    </row>
    <row r="6" spans="1:17" x14ac:dyDescent="0.2">
      <c r="A6" s="8"/>
      <c r="B6" s="9" t="s">
        <v>2</v>
      </c>
      <c r="C6" s="10" t="s">
        <v>26</v>
      </c>
      <c r="D6" s="10" t="s">
        <v>27</v>
      </c>
      <c r="E6" s="10" t="s">
        <v>29</v>
      </c>
      <c r="F6" s="9" t="s">
        <v>30</v>
      </c>
      <c r="G6" s="9" t="s">
        <v>30</v>
      </c>
      <c r="H6" s="9" t="s">
        <v>30</v>
      </c>
      <c r="I6" s="9" t="s">
        <v>30</v>
      </c>
      <c r="J6" s="9" t="s">
        <v>34</v>
      </c>
      <c r="K6" s="9" t="s">
        <v>34</v>
      </c>
      <c r="L6" s="9" t="s">
        <v>34</v>
      </c>
      <c r="M6" s="9" t="s">
        <v>34</v>
      </c>
      <c r="N6" s="9" t="s">
        <v>30</v>
      </c>
      <c r="O6" s="9" t="s">
        <v>30</v>
      </c>
      <c r="P6" s="9" t="s">
        <v>30</v>
      </c>
      <c r="Q6" s="9" t="s">
        <v>30</v>
      </c>
    </row>
    <row r="7" spans="1:17" x14ac:dyDescent="0.2">
      <c r="A7" s="11" t="s">
        <v>36</v>
      </c>
      <c r="B7" s="9" t="s">
        <v>15</v>
      </c>
      <c r="C7" s="9" t="s">
        <v>15</v>
      </c>
      <c r="D7" s="9" t="s">
        <v>15</v>
      </c>
      <c r="E7" s="9" t="s">
        <v>15</v>
      </c>
      <c r="F7" s="9" t="s">
        <v>15</v>
      </c>
      <c r="G7" s="9" t="s">
        <v>15</v>
      </c>
      <c r="H7" s="9" t="s">
        <v>15</v>
      </c>
      <c r="I7" s="9" t="s">
        <v>15</v>
      </c>
      <c r="J7" s="9" t="s">
        <v>37</v>
      </c>
      <c r="K7" s="9" t="s">
        <v>37</v>
      </c>
      <c r="L7" s="9" t="s">
        <v>37</v>
      </c>
      <c r="M7" s="9" t="s">
        <v>37</v>
      </c>
      <c r="N7" s="9" t="s">
        <v>33</v>
      </c>
      <c r="O7" s="9" t="s">
        <v>33</v>
      </c>
      <c r="P7" s="9" t="s">
        <v>33</v>
      </c>
      <c r="Q7" s="9" t="s">
        <v>33</v>
      </c>
    </row>
    <row r="8" spans="1:17" x14ac:dyDescent="0.2">
      <c r="A8" s="1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">
      <c r="A9" s="12" t="s">
        <v>3</v>
      </c>
      <c r="B9" s="12">
        <f>+HeatingDetail!B9</f>
        <v>200844</v>
      </c>
      <c r="C9" s="12">
        <f>+HeatingDetail!B29</f>
        <v>204104</v>
      </c>
      <c r="D9" s="12">
        <f>+HeatingDetail!B49</f>
        <v>222008</v>
      </c>
      <c r="E9" s="12">
        <f>+HeatingDetail!B69</f>
        <v>207842</v>
      </c>
      <c r="F9" s="12">
        <f>+HeatingDetail!D9</f>
        <v>200844</v>
      </c>
      <c r="G9" s="12">
        <f>+HeatingDetail!D29</f>
        <v>204104</v>
      </c>
      <c r="H9" s="12">
        <f>+HeatingDetail!D49</f>
        <v>222008</v>
      </c>
      <c r="I9" s="12">
        <f>+HeatingDetail!D69</f>
        <v>207842</v>
      </c>
      <c r="J9" s="13">
        <f>+HeatingDetail!P9</f>
        <v>0.36</v>
      </c>
      <c r="K9" s="14">
        <f>+HeatingDetail!P29</f>
        <v>0.28999999999999998</v>
      </c>
      <c r="L9" s="14">
        <f>+HeatingDetail!P49</f>
        <v>0.36</v>
      </c>
      <c r="M9" s="14">
        <f>+HeatingDetail!P69</f>
        <v>0.36</v>
      </c>
      <c r="N9" s="14">
        <f>+HeatingDetail!Q9</f>
        <v>0.36</v>
      </c>
      <c r="O9" s="14">
        <f>+HeatingDetail!Q29</f>
        <v>0.28999999999999998</v>
      </c>
      <c r="P9" s="14">
        <f>+HeatingDetail!Q49</f>
        <v>0.36</v>
      </c>
      <c r="Q9" s="14">
        <f>+HeatingDetail!Q69</f>
        <v>0.36</v>
      </c>
    </row>
    <row r="10" spans="1:17" x14ac:dyDescent="0.2">
      <c r="A10" s="12" t="s">
        <v>4</v>
      </c>
      <c r="B10" s="12">
        <f>+HeatingDetail!B10</f>
        <v>172289</v>
      </c>
      <c r="C10" s="12">
        <f>+HeatingDetail!B30</f>
        <v>165404</v>
      </c>
      <c r="D10" s="12">
        <f>+HeatingDetail!B50</f>
        <v>181524</v>
      </c>
      <c r="E10" s="12">
        <f>+HeatingDetail!B70</f>
        <v>180279</v>
      </c>
      <c r="F10" s="12">
        <f>+HeatingDetail!D10</f>
        <v>373133</v>
      </c>
      <c r="G10" s="12">
        <f>+HeatingDetail!D30</f>
        <v>369508</v>
      </c>
      <c r="H10" s="12">
        <f>+HeatingDetail!D50</f>
        <v>403532</v>
      </c>
      <c r="I10" s="12">
        <f>+HeatingDetail!D70</f>
        <v>388121</v>
      </c>
      <c r="J10" s="13">
        <f>+HeatingDetail!P10</f>
        <v>0.31</v>
      </c>
      <c r="K10" s="14">
        <f>+HeatingDetail!P30</f>
        <v>0.28000000000000003</v>
      </c>
      <c r="L10" s="14">
        <f>+HeatingDetail!P50</f>
        <v>0.32</v>
      </c>
      <c r="M10" s="14">
        <f>+HeatingDetail!P70</f>
        <v>0.41</v>
      </c>
      <c r="N10" s="14">
        <f>+HeatingDetail!Q10</f>
        <v>0.34</v>
      </c>
      <c r="O10" s="14">
        <f>+HeatingDetail!Q30</f>
        <v>0.28999999999999998</v>
      </c>
      <c r="P10" s="14">
        <f>+HeatingDetail!Q50</f>
        <v>0.34</v>
      </c>
      <c r="Q10" s="14">
        <f>+HeatingDetail!Q70</f>
        <v>0.38</v>
      </c>
    </row>
    <row r="11" spans="1:17" x14ac:dyDescent="0.2">
      <c r="A11" s="12" t="s">
        <v>5</v>
      </c>
      <c r="B11" s="12">
        <f>+HeatingDetail!B11</f>
        <v>113995</v>
      </c>
      <c r="C11" s="12">
        <f>+HeatingDetail!B31</f>
        <v>135581</v>
      </c>
      <c r="D11" s="12">
        <f>+HeatingDetail!B51</f>
        <v>142603</v>
      </c>
      <c r="E11" s="12">
        <f>+HeatingDetail!B71</f>
        <v>135350</v>
      </c>
      <c r="F11" s="12">
        <f>+HeatingDetail!D11</f>
        <v>487128</v>
      </c>
      <c r="G11" s="12">
        <f>+HeatingDetail!D31</f>
        <v>505089</v>
      </c>
      <c r="H11" s="12">
        <f>+HeatingDetail!D51</f>
        <v>546135</v>
      </c>
      <c r="I11" s="12">
        <f>+HeatingDetail!D71</f>
        <v>523471</v>
      </c>
      <c r="J11" s="13">
        <f>+HeatingDetail!P11</f>
        <v>0.37</v>
      </c>
      <c r="K11" s="14">
        <f>+HeatingDetail!P31</f>
        <v>0.31</v>
      </c>
      <c r="L11" s="14">
        <f>+HeatingDetail!P51</f>
        <v>0.31</v>
      </c>
      <c r="M11" s="14">
        <f>+HeatingDetail!P71</f>
        <v>0.37</v>
      </c>
      <c r="N11" s="14">
        <f>+HeatingDetail!Q11</f>
        <v>0.35</v>
      </c>
      <c r="O11" s="14">
        <f>+HeatingDetail!Q31</f>
        <v>0.28999999999999998</v>
      </c>
      <c r="P11" s="14">
        <f>+HeatingDetail!Q51</f>
        <v>0.33</v>
      </c>
      <c r="Q11" s="14">
        <f>+HeatingDetail!Q71</f>
        <v>0.38</v>
      </c>
    </row>
    <row r="12" spans="1:17" x14ac:dyDescent="0.2">
      <c r="A12" s="12" t="s">
        <v>6</v>
      </c>
      <c r="B12" s="12">
        <f>+HeatingDetail!B12</f>
        <v>112634</v>
      </c>
      <c r="C12" s="12">
        <f>+HeatingDetail!B32</f>
        <v>122892</v>
      </c>
      <c r="D12" s="12">
        <f>+HeatingDetail!B52</f>
        <v>144444</v>
      </c>
      <c r="E12" s="12">
        <f>+HeatingDetail!B72</f>
        <v>133708</v>
      </c>
      <c r="F12" s="12">
        <f>+HeatingDetail!D12</f>
        <v>599762</v>
      </c>
      <c r="G12" s="12">
        <f>+HeatingDetail!D32</f>
        <v>627981</v>
      </c>
      <c r="H12" s="12">
        <f>+HeatingDetail!D52</f>
        <v>690579</v>
      </c>
      <c r="I12" s="12">
        <f>+HeatingDetail!D72</f>
        <v>657179</v>
      </c>
      <c r="J12" s="13">
        <f>+HeatingDetail!P12</f>
        <v>0.36</v>
      </c>
      <c r="K12" s="14">
        <f>+HeatingDetail!P32</f>
        <v>0.36</v>
      </c>
      <c r="L12" s="14">
        <f>+HeatingDetail!P52</f>
        <v>0.28999999999999998</v>
      </c>
      <c r="M12" s="14">
        <f>+HeatingDetail!P72</f>
        <v>0.35</v>
      </c>
      <c r="N12" s="14">
        <f>+HeatingDetail!Q12</f>
        <v>0.35</v>
      </c>
      <c r="O12" s="14">
        <f>+HeatingDetail!Q32</f>
        <v>0.3</v>
      </c>
      <c r="P12" s="14">
        <f>+HeatingDetail!Q52</f>
        <v>0.33</v>
      </c>
      <c r="Q12" s="14">
        <f>+HeatingDetail!Q72</f>
        <v>0.37</v>
      </c>
    </row>
    <row r="13" spans="1:17" x14ac:dyDescent="0.2">
      <c r="A13" s="12" t="s">
        <v>7</v>
      </c>
      <c r="B13" s="12">
        <f>+HeatingDetail!B13</f>
        <v>119349</v>
      </c>
      <c r="C13" s="12">
        <f>+HeatingDetail!B33</f>
        <v>133795</v>
      </c>
      <c r="D13" s="12">
        <f>+HeatingDetail!B53</f>
        <v>148976</v>
      </c>
      <c r="E13" s="12">
        <f>+HeatingDetail!B73</f>
        <v>135407</v>
      </c>
      <c r="F13" s="12">
        <f>+HeatingDetail!D13</f>
        <v>719111</v>
      </c>
      <c r="G13" s="12">
        <f>+HeatingDetail!D33</f>
        <v>761776</v>
      </c>
      <c r="H13" s="12">
        <f>+HeatingDetail!D53</f>
        <v>839555</v>
      </c>
      <c r="I13" s="12">
        <f>+HeatingDetail!D73</f>
        <v>792586</v>
      </c>
      <c r="J13" s="13">
        <f>+HeatingDetail!P13</f>
        <v>0.42</v>
      </c>
      <c r="K13" s="14">
        <f>+HeatingDetail!P33</f>
        <v>0.31</v>
      </c>
      <c r="L13" s="14">
        <f>+HeatingDetail!P53</f>
        <v>0.26</v>
      </c>
      <c r="M13" s="14">
        <f>+HeatingDetail!P73</f>
        <v>0.44</v>
      </c>
      <c r="N13" s="14">
        <f>+HeatingDetail!Q13</f>
        <v>0.36</v>
      </c>
      <c r="O13" s="14">
        <f>+HeatingDetail!Q33</f>
        <v>0.3</v>
      </c>
      <c r="P13" s="14">
        <f>+HeatingDetail!Q53</f>
        <v>0.31</v>
      </c>
      <c r="Q13" s="14">
        <f>+HeatingDetail!Q73</f>
        <v>0.38</v>
      </c>
    </row>
    <row r="14" spans="1:17" x14ac:dyDescent="0.2">
      <c r="A14" s="12" t="s">
        <v>8</v>
      </c>
      <c r="B14" s="12">
        <f>+HeatingDetail!B14</f>
        <v>130792</v>
      </c>
      <c r="C14" s="12">
        <f>+HeatingDetail!B34</f>
        <v>149515</v>
      </c>
      <c r="D14" s="12">
        <f>+HeatingDetail!B54</f>
        <v>145095</v>
      </c>
      <c r="E14" s="12">
        <f>+HeatingDetail!B74</f>
        <v>144302</v>
      </c>
      <c r="F14" s="12">
        <f>+HeatingDetail!D14</f>
        <v>849903</v>
      </c>
      <c r="G14" s="12">
        <f>+HeatingDetail!D34</f>
        <v>911291</v>
      </c>
      <c r="H14" s="12">
        <f>+HeatingDetail!D54</f>
        <v>984650</v>
      </c>
      <c r="I14" s="12">
        <f>+HeatingDetail!D74</f>
        <v>936888</v>
      </c>
      <c r="J14" s="13">
        <f>+HeatingDetail!P14</f>
        <v>0.48</v>
      </c>
      <c r="K14" s="14">
        <f>+HeatingDetail!P34</f>
        <v>0.25</v>
      </c>
      <c r="L14" s="14">
        <f>+HeatingDetail!P54</f>
        <v>0.27</v>
      </c>
      <c r="M14" s="14">
        <f>+HeatingDetail!P74</f>
        <v>0.43</v>
      </c>
      <c r="N14" s="14">
        <f>+HeatingDetail!Q14</f>
        <v>0.38</v>
      </c>
      <c r="O14" s="14">
        <f>+HeatingDetail!Q34</f>
        <v>0.3</v>
      </c>
      <c r="P14" s="14">
        <f>+HeatingDetail!Q54</f>
        <v>0.31</v>
      </c>
      <c r="Q14" s="14">
        <f>+HeatingDetail!Q74</f>
        <v>0.39</v>
      </c>
    </row>
    <row r="15" spans="1:17" x14ac:dyDescent="0.2">
      <c r="A15" s="12" t="s">
        <v>9</v>
      </c>
      <c r="B15" s="12">
        <f>+HeatingDetail!B15</f>
        <v>176173</v>
      </c>
      <c r="C15" s="12">
        <f>+HeatingDetail!B35</f>
        <v>202204</v>
      </c>
      <c r="D15" s="12">
        <f>+HeatingDetail!B55</f>
        <v>181638</v>
      </c>
      <c r="E15" s="12">
        <f>+HeatingDetail!B75</f>
        <v>185604</v>
      </c>
      <c r="F15" s="12">
        <f>+HeatingDetail!D15</f>
        <v>1026076</v>
      </c>
      <c r="G15" s="12">
        <f>+HeatingDetail!D35</f>
        <v>1113495</v>
      </c>
      <c r="H15" s="12">
        <f>+HeatingDetail!D55</f>
        <v>1166288</v>
      </c>
      <c r="I15" s="12">
        <f>+HeatingDetail!D75</f>
        <v>1122492</v>
      </c>
      <c r="J15" s="13">
        <f>+HeatingDetail!P15</f>
        <v>0.56999999999999995</v>
      </c>
      <c r="K15" s="14">
        <f>+HeatingDetail!P35</f>
        <v>0.3</v>
      </c>
      <c r="L15" s="14">
        <f>+HeatingDetail!P55</f>
        <v>0.32</v>
      </c>
      <c r="M15" s="14">
        <f>+HeatingDetail!P75</f>
        <v>0.39</v>
      </c>
      <c r="N15" s="14">
        <f>+HeatingDetail!Q15</f>
        <v>0.41</v>
      </c>
      <c r="O15" s="14">
        <f>+HeatingDetail!Q35</f>
        <v>0.3</v>
      </c>
      <c r="P15" s="14">
        <f>+HeatingDetail!Q55</f>
        <v>0.31</v>
      </c>
      <c r="Q15" s="14">
        <f>+HeatingDetail!Q75</f>
        <v>0.39</v>
      </c>
    </row>
    <row r="16" spans="1:17" x14ac:dyDescent="0.2">
      <c r="A16" s="12" t="s">
        <v>10</v>
      </c>
      <c r="B16" s="12">
        <f>+HeatingDetail!B16</f>
        <v>235152</v>
      </c>
      <c r="C16" s="12">
        <f>+HeatingDetail!B36</f>
        <v>234697</v>
      </c>
      <c r="D16" s="12">
        <f>+HeatingDetail!B56</f>
        <v>252855</v>
      </c>
      <c r="E16" s="12">
        <f>+HeatingDetail!B76</f>
        <v>230759</v>
      </c>
      <c r="F16" s="12">
        <f>+HeatingDetail!D16</f>
        <v>1261228</v>
      </c>
      <c r="G16" s="12">
        <f>+HeatingDetail!D36</f>
        <v>1348192</v>
      </c>
      <c r="H16" s="12">
        <f>+HeatingDetail!D56</f>
        <v>1419143</v>
      </c>
      <c r="I16" s="12">
        <f>+HeatingDetail!D76</f>
        <v>1353251</v>
      </c>
      <c r="J16" s="13">
        <f>+HeatingDetail!P16</f>
        <v>0.4</v>
      </c>
      <c r="K16" s="14">
        <f>+HeatingDetail!P36</f>
        <v>0.36</v>
      </c>
      <c r="L16" s="14">
        <f>+HeatingDetail!P56</f>
        <v>0.28999999999999998</v>
      </c>
      <c r="M16" s="14">
        <f>+HeatingDetail!P76</f>
        <v>0.37</v>
      </c>
      <c r="N16" s="14">
        <f>+HeatingDetail!Q16</f>
        <v>0.41</v>
      </c>
      <c r="O16" s="14">
        <f>+HeatingDetail!Q36</f>
        <v>0.31</v>
      </c>
      <c r="P16" s="14">
        <f>+HeatingDetail!Q56</f>
        <v>0.3</v>
      </c>
      <c r="Q16" s="14">
        <f>+HeatingDetail!Q76</f>
        <v>0.39</v>
      </c>
    </row>
    <row r="17" spans="1:17" x14ac:dyDescent="0.2">
      <c r="A17" s="12" t="s">
        <v>11</v>
      </c>
      <c r="B17" s="12">
        <f>+HeatingDetail!B17</f>
        <v>300417</v>
      </c>
      <c r="C17" s="12">
        <f>+HeatingDetail!B37</f>
        <v>291324</v>
      </c>
      <c r="D17" s="12">
        <f>+HeatingDetail!B57</f>
        <v>319028</v>
      </c>
      <c r="E17" s="12">
        <f>+HeatingDetail!B77</f>
        <v>336025</v>
      </c>
      <c r="F17" s="12">
        <f>+HeatingDetail!D17</f>
        <v>1561645</v>
      </c>
      <c r="G17" s="12">
        <f>+HeatingDetail!D37</f>
        <v>1639516</v>
      </c>
      <c r="H17" s="12">
        <f>+HeatingDetail!D57</f>
        <v>1738171</v>
      </c>
      <c r="I17" s="12">
        <f>+HeatingDetail!D77</f>
        <v>1689276</v>
      </c>
      <c r="J17" s="13">
        <f>+HeatingDetail!P17</f>
        <v>0.52</v>
      </c>
      <c r="K17" s="14">
        <f>+HeatingDetail!P37</f>
        <v>0.35</v>
      </c>
      <c r="L17" s="14">
        <f>+HeatingDetail!P57</f>
        <v>0.3</v>
      </c>
      <c r="M17" s="14">
        <f>+HeatingDetail!P77</f>
        <v>0.34</v>
      </c>
      <c r="N17" s="14">
        <f>+HeatingDetail!Q17</f>
        <v>0.43</v>
      </c>
      <c r="O17" s="14">
        <f>+HeatingDetail!Q37</f>
        <v>0.32</v>
      </c>
      <c r="P17" s="14">
        <f>+HeatingDetail!Q57</f>
        <v>0.3</v>
      </c>
      <c r="Q17" s="14">
        <f>+HeatingDetail!Q77</f>
        <v>0.38</v>
      </c>
    </row>
    <row r="18" spans="1:17" x14ac:dyDescent="0.2">
      <c r="A18" s="12" t="s">
        <v>12</v>
      </c>
      <c r="B18" s="12">
        <f>+HeatingDetail!B18</f>
        <v>314386</v>
      </c>
      <c r="C18" s="12">
        <f>+HeatingDetail!B38</f>
        <v>347894</v>
      </c>
      <c r="D18" s="12">
        <f>+HeatingDetail!B58</f>
        <v>320020</v>
      </c>
      <c r="E18" s="12">
        <f>+HeatingDetail!B78</f>
        <v>370613</v>
      </c>
      <c r="F18" s="12">
        <f>+HeatingDetail!D18</f>
        <v>1876031</v>
      </c>
      <c r="G18" s="12">
        <f>+HeatingDetail!D38</f>
        <v>1987410</v>
      </c>
      <c r="H18" s="12">
        <f>+HeatingDetail!D58</f>
        <v>2058191</v>
      </c>
      <c r="I18" s="12">
        <f>+HeatingDetail!D78</f>
        <v>2059889</v>
      </c>
      <c r="J18" s="13">
        <f>+HeatingDetail!P18</f>
        <v>0.39</v>
      </c>
      <c r="K18" s="14">
        <f>+HeatingDetail!P38</f>
        <v>0.3</v>
      </c>
      <c r="L18" s="14">
        <f>+HeatingDetail!P58</f>
        <v>0.36</v>
      </c>
      <c r="M18" s="14">
        <f>+HeatingDetail!P78</f>
        <v>0.34</v>
      </c>
      <c r="N18" s="14">
        <f>+HeatingDetail!Q18</f>
        <v>0.42</v>
      </c>
      <c r="O18" s="14">
        <f>+HeatingDetail!Q38</f>
        <v>0.31</v>
      </c>
      <c r="P18" s="14">
        <f>+HeatingDetail!Q58</f>
        <v>0.31</v>
      </c>
      <c r="Q18" s="14">
        <f>+HeatingDetail!Q78</f>
        <v>0.37</v>
      </c>
    </row>
    <row r="19" spans="1:17" x14ac:dyDescent="0.2">
      <c r="A19" s="12" t="s">
        <v>13</v>
      </c>
      <c r="B19" s="12">
        <f>+HeatingDetail!B19</f>
        <v>301154</v>
      </c>
      <c r="C19" s="12">
        <f>+HeatingDetail!B39</f>
        <v>342001</v>
      </c>
      <c r="D19" s="12">
        <f>+HeatingDetail!B59</f>
        <v>333135</v>
      </c>
      <c r="E19" s="12">
        <f>+HeatingDetail!B79</f>
        <v>301862</v>
      </c>
      <c r="F19" s="12">
        <f>+HeatingDetail!D19</f>
        <v>2177185</v>
      </c>
      <c r="G19" s="12">
        <f>+HeatingDetail!D39</f>
        <v>2329411</v>
      </c>
      <c r="H19" s="12">
        <f>+HeatingDetail!D59</f>
        <v>2391326</v>
      </c>
      <c r="I19" s="12">
        <f>+HeatingDetail!D79</f>
        <v>2361751</v>
      </c>
      <c r="J19" s="13">
        <f>+HeatingDetail!P19</f>
        <v>0.33</v>
      </c>
      <c r="K19" s="14">
        <f>+HeatingDetail!P39</f>
        <v>0.36</v>
      </c>
      <c r="L19" s="14">
        <f>+HeatingDetail!P59</f>
        <v>0.34</v>
      </c>
      <c r="M19" s="14">
        <f>+HeatingDetail!P79</f>
        <v>0.3</v>
      </c>
      <c r="N19" s="14">
        <f>+HeatingDetail!Q19</f>
        <v>0.41</v>
      </c>
      <c r="O19" s="14">
        <f>+HeatingDetail!Q39</f>
        <v>0.32</v>
      </c>
      <c r="P19" s="14">
        <f>+HeatingDetail!Q59</f>
        <v>0.32</v>
      </c>
      <c r="Q19" s="14">
        <f>+HeatingDetail!Q79</f>
        <v>0.36</v>
      </c>
    </row>
    <row r="20" spans="1:17" x14ac:dyDescent="0.2">
      <c r="A20" s="12" t="s">
        <v>14</v>
      </c>
      <c r="B20" s="12">
        <f>+HeatingDetail!B20</f>
        <v>272516</v>
      </c>
      <c r="C20" s="12">
        <f>+HeatingDetail!B40</f>
        <v>294721</v>
      </c>
      <c r="D20" s="12">
        <f>+HeatingDetail!B60</f>
        <v>365430</v>
      </c>
      <c r="E20" s="12">
        <f>+HeatingDetail!B80</f>
        <v>294157</v>
      </c>
      <c r="F20" s="12">
        <f>+HeatingDetail!D20</f>
        <v>2449701</v>
      </c>
      <c r="G20" s="12">
        <f>+HeatingDetail!D40</f>
        <v>2624132</v>
      </c>
      <c r="H20" s="12">
        <f>+HeatingDetail!D60</f>
        <v>2756756</v>
      </c>
      <c r="I20" s="12">
        <f>+HeatingDetail!D80</f>
        <v>2655908</v>
      </c>
      <c r="J20" s="13">
        <f>+HeatingDetail!P20</f>
        <v>0.32</v>
      </c>
      <c r="K20" s="14">
        <f>+HeatingDetail!P40</f>
        <v>0.35</v>
      </c>
      <c r="L20" s="14">
        <f>+HeatingDetail!P60</f>
        <v>0.4</v>
      </c>
      <c r="M20" s="14">
        <f>+HeatingDetail!P80</f>
        <v>0.3</v>
      </c>
      <c r="N20" s="14">
        <f>+HeatingDetail!Q20</f>
        <v>0.4</v>
      </c>
      <c r="O20" s="14">
        <f>+HeatingDetail!Q40</f>
        <v>0.32</v>
      </c>
      <c r="P20" s="14">
        <f>+HeatingDetail!Q60</f>
        <v>0.33</v>
      </c>
      <c r="Q20" s="14">
        <f>+HeatingDetail!Q80</f>
        <v>0.35</v>
      </c>
    </row>
    <row r="24" spans="1:17" x14ac:dyDescent="0.2">
      <c r="A24" t="s">
        <v>42</v>
      </c>
    </row>
    <row r="26" spans="1:17" x14ac:dyDescent="0.2">
      <c r="A26" s="5"/>
      <c r="B26" s="6"/>
      <c r="C26" s="6"/>
      <c r="D26" s="6"/>
      <c r="E26" s="6"/>
      <c r="F26" s="7" t="s">
        <v>2</v>
      </c>
      <c r="G26" s="7" t="s">
        <v>26</v>
      </c>
      <c r="H26" s="7" t="s">
        <v>27</v>
      </c>
      <c r="I26" s="7" t="s">
        <v>29</v>
      </c>
      <c r="J26" s="7" t="s">
        <v>2</v>
      </c>
      <c r="K26" s="7" t="s">
        <v>26</v>
      </c>
      <c r="L26" s="7" t="s">
        <v>27</v>
      </c>
      <c r="M26" s="7" t="s">
        <v>29</v>
      </c>
      <c r="N26" s="7" t="s">
        <v>2</v>
      </c>
      <c r="O26" s="6" t="s">
        <v>26</v>
      </c>
      <c r="P26" s="6" t="s">
        <v>27</v>
      </c>
      <c r="Q26" s="6" t="s">
        <v>29</v>
      </c>
    </row>
    <row r="27" spans="1:17" x14ac:dyDescent="0.2">
      <c r="A27" s="8"/>
      <c r="B27" s="9" t="s">
        <v>2</v>
      </c>
      <c r="C27" s="10" t="s">
        <v>26</v>
      </c>
      <c r="D27" s="10" t="s">
        <v>27</v>
      </c>
      <c r="E27" s="10" t="s">
        <v>29</v>
      </c>
      <c r="F27" s="9" t="s">
        <v>30</v>
      </c>
      <c r="G27" s="9" t="s">
        <v>30</v>
      </c>
      <c r="H27" s="9" t="s">
        <v>30</v>
      </c>
      <c r="I27" s="9" t="s">
        <v>30</v>
      </c>
      <c r="J27" s="9" t="s">
        <v>34</v>
      </c>
      <c r="K27" s="9" t="s">
        <v>34</v>
      </c>
      <c r="L27" s="9" t="s">
        <v>34</v>
      </c>
      <c r="M27" s="9" t="s">
        <v>34</v>
      </c>
      <c r="N27" s="9" t="s">
        <v>30</v>
      </c>
      <c r="O27" s="9" t="s">
        <v>30</v>
      </c>
      <c r="P27" s="9" t="s">
        <v>30</v>
      </c>
      <c r="Q27" s="9" t="s">
        <v>30</v>
      </c>
    </row>
    <row r="28" spans="1:17" x14ac:dyDescent="0.2">
      <c r="A28" s="11" t="s">
        <v>36</v>
      </c>
      <c r="B28" s="9" t="s">
        <v>15</v>
      </c>
      <c r="C28" s="9" t="s">
        <v>38</v>
      </c>
      <c r="D28" s="9" t="s">
        <v>38</v>
      </c>
      <c r="E28" s="9" t="s">
        <v>38</v>
      </c>
      <c r="F28" s="9" t="s">
        <v>15</v>
      </c>
      <c r="G28" s="9" t="s">
        <v>38</v>
      </c>
      <c r="H28" s="9" t="s">
        <v>38</v>
      </c>
      <c r="I28" s="9" t="s">
        <v>38</v>
      </c>
      <c r="J28" s="9" t="s">
        <v>37</v>
      </c>
      <c r="K28" s="9" t="s">
        <v>43</v>
      </c>
      <c r="L28" s="9" t="s">
        <v>43</v>
      </c>
      <c r="M28" s="9" t="s">
        <v>43</v>
      </c>
      <c r="N28" s="9" t="s">
        <v>33</v>
      </c>
      <c r="O28" s="9" t="s">
        <v>41</v>
      </c>
      <c r="P28" s="9" t="s">
        <v>41</v>
      </c>
      <c r="Q28" s="9" t="s">
        <v>41</v>
      </c>
    </row>
    <row r="29" spans="1:17" x14ac:dyDescent="0.2">
      <c r="A29" s="1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">
      <c r="A30" s="12" t="s">
        <v>3</v>
      </c>
      <c r="B30" s="12">
        <f>+HeatingDetail!B30</f>
        <v>165404</v>
      </c>
      <c r="C30" s="12">
        <f>+HydroDetail!B29</f>
        <v>765406</v>
      </c>
      <c r="D30" s="12">
        <f>+HydroDetail!B49</f>
        <v>779226</v>
      </c>
      <c r="E30" s="12">
        <f>+HydroDetail!B69</f>
        <v>846802</v>
      </c>
      <c r="F30" s="12">
        <f>+HeatingDetail!D30</f>
        <v>369508</v>
      </c>
      <c r="G30" s="12">
        <f>+HydroDetail!D29</f>
        <v>765406</v>
      </c>
      <c r="H30" s="12">
        <f>+HydroDetail!D49</f>
        <v>779226</v>
      </c>
      <c r="I30" s="12">
        <f>+HydroDetail!D69</f>
        <v>846802</v>
      </c>
      <c r="J30" s="13">
        <f>+HeatingDetail!P30</f>
        <v>0.28000000000000003</v>
      </c>
      <c r="K30" s="14">
        <f>+HydroDetail!N29</f>
        <v>0.09</v>
      </c>
      <c r="L30" s="14">
        <f>+HydroDetail!N49</f>
        <v>0.08</v>
      </c>
      <c r="M30" s="14">
        <f>+HydroDetail!Q69</f>
        <v>0.09</v>
      </c>
      <c r="N30" s="14">
        <f>+HeatingDetail!Q30</f>
        <v>0.28999999999999998</v>
      </c>
      <c r="O30" s="14">
        <f>+HydroDetail!O29</f>
        <v>0.09</v>
      </c>
      <c r="P30" s="14">
        <f>+HydroDetail!O49</f>
        <v>0.08</v>
      </c>
      <c r="Q30" s="14">
        <f>+HydroDetail!R69</f>
        <v>0.09</v>
      </c>
    </row>
    <row r="31" spans="1:17" x14ac:dyDescent="0.2">
      <c r="A31" s="12" t="s">
        <v>4</v>
      </c>
      <c r="B31" s="12">
        <f>+HeatingDetail!B31</f>
        <v>135581</v>
      </c>
      <c r="C31" s="12">
        <f>+HydroDetail!B30</f>
        <v>823378</v>
      </c>
      <c r="D31" s="12">
        <f>+HydroDetail!B50</f>
        <v>804928</v>
      </c>
      <c r="E31" s="12">
        <f>+HydroDetail!B70</f>
        <v>782174</v>
      </c>
      <c r="F31" s="12">
        <f>+HeatingDetail!D31</f>
        <v>505089</v>
      </c>
      <c r="G31" s="12">
        <f>+HydroDetail!D30</f>
        <v>1588784</v>
      </c>
      <c r="H31" s="12">
        <f>+HydroDetail!D50</f>
        <v>1584154</v>
      </c>
      <c r="I31" s="12">
        <f>+HydroDetail!D70</f>
        <v>1628976</v>
      </c>
      <c r="J31" s="13">
        <f>+HeatingDetail!P31</f>
        <v>0.31</v>
      </c>
      <c r="K31" s="14">
        <f>+HydroDetail!N30</f>
        <v>0.09</v>
      </c>
      <c r="L31" s="14">
        <f>+HydroDetail!N50</f>
        <v>0.08</v>
      </c>
      <c r="M31" s="14">
        <f>+HydroDetail!Q70</f>
        <v>0.08</v>
      </c>
      <c r="N31" s="14">
        <f>+HeatingDetail!Q31</f>
        <v>0.28999999999999998</v>
      </c>
      <c r="O31" s="14">
        <f>+HydroDetail!O30</f>
        <v>0.09</v>
      </c>
      <c r="P31" s="14">
        <f>+HydroDetail!O50</f>
        <v>0.08</v>
      </c>
      <c r="Q31" s="14">
        <f>+HydroDetail!R70</f>
        <v>0.08</v>
      </c>
    </row>
    <row r="32" spans="1:17" x14ac:dyDescent="0.2">
      <c r="A32" s="12" t="s">
        <v>5</v>
      </c>
      <c r="B32" s="12">
        <f>+HeatingDetail!B32</f>
        <v>122892</v>
      </c>
      <c r="C32" s="12">
        <f>+HydroDetail!B31</f>
        <v>1038120</v>
      </c>
      <c r="D32" s="12">
        <f>+HydroDetail!B51</f>
        <v>1086759</v>
      </c>
      <c r="E32" s="12">
        <f>+HydroDetail!B71</f>
        <v>872356</v>
      </c>
      <c r="F32" s="12">
        <f>+HeatingDetail!D32</f>
        <v>627981</v>
      </c>
      <c r="G32" s="12">
        <f>+HydroDetail!D31</f>
        <v>2626904</v>
      </c>
      <c r="H32" s="12">
        <f>+HydroDetail!D51</f>
        <v>2670913</v>
      </c>
      <c r="I32" s="12">
        <f>+HydroDetail!D71</f>
        <v>2501332</v>
      </c>
      <c r="J32" s="13">
        <f>+HeatingDetail!P32</f>
        <v>0.36</v>
      </c>
      <c r="K32" s="14">
        <f>+HydroDetail!N31</f>
        <v>0.09</v>
      </c>
      <c r="L32" s="14">
        <f>+HydroDetail!N51</f>
        <v>0.09</v>
      </c>
      <c r="M32" s="14">
        <f>+HydroDetail!Q71</f>
        <v>0.11</v>
      </c>
      <c r="N32" s="14">
        <f>+HeatingDetail!Q32</f>
        <v>0.3</v>
      </c>
      <c r="O32" s="14">
        <f>+HydroDetail!O31</f>
        <v>0.09</v>
      </c>
      <c r="P32" s="14">
        <f>+HydroDetail!O51</f>
        <v>0.08</v>
      </c>
      <c r="Q32" s="14">
        <f>+HydroDetail!R71</f>
        <v>0.09</v>
      </c>
    </row>
    <row r="33" spans="1:17" x14ac:dyDescent="0.2">
      <c r="A33" s="12" t="s">
        <v>6</v>
      </c>
      <c r="B33" s="12">
        <f>+HeatingDetail!B33</f>
        <v>133795</v>
      </c>
      <c r="C33" s="12">
        <f>+HydroDetail!B32</f>
        <v>1014764</v>
      </c>
      <c r="D33" s="12">
        <f>+HydroDetail!B52</f>
        <v>971214</v>
      </c>
      <c r="E33" s="12">
        <f>+HydroDetail!B72</f>
        <v>1108503</v>
      </c>
      <c r="F33" s="12">
        <f>+HeatingDetail!D33</f>
        <v>761776</v>
      </c>
      <c r="G33" s="12">
        <f>+HydroDetail!D32</f>
        <v>3641668</v>
      </c>
      <c r="H33" s="12">
        <f>+HydroDetail!D52</f>
        <v>3642127</v>
      </c>
      <c r="I33" s="12">
        <f>+HydroDetail!D72</f>
        <v>3609835</v>
      </c>
      <c r="J33" s="13">
        <f>+HeatingDetail!P33</f>
        <v>0.31</v>
      </c>
      <c r="K33" s="14">
        <f>+HydroDetail!N32</f>
        <v>0.09</v>
      </c>
      <c r="L33" s="14">
        <f>+HydroDetail!N52</f>
        <v>0.09</v>
      </c>
      <c r="M33" s="14">
        <f>+HydroDetail!Q72</f>
        <v>0.1</v>
      </c>
      <c r="N33" s="14">
        <f>+HeatingDetail!Q33</f>
        <v>0.3</v>
      </c>
      <c r="O33" s="14">
        <f>+HydroDetail!O32</f>
        <v>0.09</v>
      </c>
      <c r="P33" s="14">
        <f>+HydroDetail!O52</f>
        <v>0.09</v>
      </c>
      <c r="Q33" s="14">
        <f>+HydroDetail!R72</f>
        <v>0.09</v>
      </c>
    </row>
    <row r="34" spans="1:17" x14ac:dyDescent="0.2">
      <c r="A34" s="12" t="s">
        <v>7</v>
      </c>
      <c r="B34" s="12">
        <f>+HeatingDetail!B34</f>
        <v>149515</v>
      </c>
      <c r="C34" s="12">
        <f>+HydroDetail!B33</f>
        <v>1038482</v>
      </c>
      <c r="D34" s="12">
        <f>+HydroDetail!B53</f>
        <v>1128197</v>
      </c>
      <c r="E34" s="12">
        <f>+HydroDetail!B73</f>
        <v>1024661</v>
      </c>
      <c r="F34" s="12">
        <f>+HeatingDetail!D34</f>
        <v>911291</v>
      </c>
      <c r="G34" s="12">
        <f>+HydroDetail!D33</f>
        <v>4680150</v>
      </c>
      <c r="H34" s="12">
        <f>+HydroDetail!D53</f>
        <v>4770324</v>
      </c>
      <c r="I34" s="12">
        <f>+HydroDetail!D73</f>
        <v>4634496</v>
      </c>
      <c r="J34" s="13">
        <f>+HeatingDetail!P34</f>
        <v>0.25</v>
      </c>
      <c r="K34" s="14">
        <f>+HydroDetail!N33</f>
        <v>0.1</v>
      </c>
      <c r="L34" s="14">
        <f>+HydroDetail!N53</f>
        <v>0.09</v>
      </c>
      <c r="M34" s="14">
        <f>+HydroDetail!Q73</f>
        <v>0.09</v>
      </c>
      <c r="N34" s="14">
        <f>+HeatingDetail!Q34</f>
        <v>0.3</v>
      </c>
      <c r="O34" s="14">
        <f>+HydroDetail!O33</f>
        <v>0.09</v>
      </c>
      <c r="P34" s="14">
        <f>+HydroDetail!O53</f>
        <v>0.09</v>
      </c>
      <c r="Q34" s="14">
        <f>+HydroDetail!R73</f>
        <v>0.09</v>
      </c>
    </row>
    <row r="35" spans="1:17" x14ac:dyDescent="0.2">
      <c r="A35" s="12" t="s">
        <v>8</v>
      </c>
      <c r="B35" s="12">
        <f>+HeatingDetail!B35</f>
        <v>202204</v>
      </c>
      <c r="C35" s="12">
        <f>+HydroDetail!B34</f>
        <v>934042</v>
      </c>
      <c r="D35" s="12">
        <f>+HydroDetail!B54</f>
        <v>1074987</v>
      </c>
      <c r="E35" s="12">
        <f>+HydroDetail!B74</f>
        <v>946292</v>
      </c>
      <c r="F35" s="12">
        <f>+HeatingDetail!D35</f>
        <v>1113495</v>
      </c>
      <c r="G35" s="12">
        <f>+HydroDetail!D34</f>
        <v>5614192</v>
      </c>
      <c r="H35" s="12">
        <f>+HydroDetail!D54</f>
        <v>5845311</v>
      </c>
      <c r="I35" s="12">
        <f>+HydroDetail!D74</f>
        <v>5580788</v>
      </c>
      <c r="J35" s="13">
        <f>+HeatingDetail!P35</f>
        <v>0.3</v>
      </c>
      <c r="K35" s="14">
        <f>+HydroDetail!N34</f>
        <v>0.08</v>
      </c>
      <c r="L35" s="14">
        <f>+HydroDetail!N54</f>
        <v>0.09</v>
      </c>
      <c r="M35" s="14">
        <f>+HydroDetail!Q74</f>
        <v>0.1</v>
      </c>
      <c r="N35" s="14">
        <f>+HeatingDetail!Q35</f>
        <v>0.3</v>
      </c>
      <c r="O35" s="14">
        <f>+HydroDetail!O34</f>
        <v>0.09</v>
      </c>
      <c r="P35" s="14">
        <f>+HydroDetail!O54</f>
        <v>0.09</v>
      </c>
      <c r="Q35" s="14">
        <f>+HydroDetail!R74</f>
        <v>0.09</v>
      </c>
    </row>
    <row r="36" spans="1:17" x14ac:dyDescent="0.2">
      <c r="A36" s="12" t="s">
        <v>9</v>
      </c>
      <c r="B36" s="12">
        <f>+HeatingDetail!B36</f>
        <v>234697</v>
      </c>
      <c r="C36" s="12">
        <f>+HydroDetail!B35</f>
        <v>765539</v>
      </c>
      <c r="D36" s="12">
        <f>+HydroDetail!B55</f>
        <v>891519</v>
      </c>
      <c r="E36" s="12">
        <f>+HydroDetail!B75</f>
        <v>873002</v>
      </c>
      <c r="F36" s="12">
        <f>+HeatingDetail!D36</f>
        <v>1348192</v>
      </c>
      <c r="G36" s="12">
        <f>+HydroDetail!D35</f>
        <v>6379731</v>
      </c>
      <c r="H36" s="12">
        <f>+HydroDetail!D55</f>
        <v>6736830</v>
      </c>
      <c r="I36" s="12">
        <f>+HydroDetail!D75</f>
        <v>6453790</v>
      </c>
      <c r="J36" s="13">
        <f>+HeatingDetail!P36</f>
        <v>0.36</v>
      </c>
      <c r="K36" s="14">
        <f>+HydroDetail!N35</f>
        <v>0.08</v>
      </c>
      <c r="L36" s="14">
        <f>+HydroDetail!N55</f>
        <v>0.1</v>
      </c>
      <c r="M36" s="14">
        <f>+HydroDetail!Q75</f>
        <v>0.09</v>
      </c>
      <c r="N36" s="14">
        <f>+HeatingDetail!Q36</f>
        <v>0.31</v>
      </c>
      <c r="O36" s="14">
        <f>+HydroDetail!O35</f>
        <v>0.09</v>
      </c>
      <c r="P36" s="14">
        <f>+HydroDetail!O55</f>
        <v>0.09</v>
      </c>
      <c r="Q36" s="14">
        <f>+HydroDetail!R75</f>
        <v>0.09</v>
      </c>
    </row>
    <row r="37" spans="1:17" x14ac:dyDescent="0.2">
      <c r="A37" s="12" t="s">
        <v>10</v>
      </c>
      <c r="B37" s="12">
        <f>+HeatingDetail!B37</f>
        <v>291324</v>
      </c>
      <c r="C37" s="12">
        <f>+HydroDetail!B36</f>
        <v>710970</v>
      </c>
      <c r="D37" s="12">
        <f>+HydroDetail!B56</f>
        <v>804825</v>
      </c>
      <c r="E37" s="12">
        <f>+HydroDetail!B76</f>
        <v>763365</v>
      </c>
      <c r="F37" s="12">
        <f>+HeatingDetail!D37</f>
        <v>1639516</v>
      </c>
      <c r="G37" s="12">
        <f>+HydroDetail!D36</f>
        <v>7090701</v>
      </c>
      <c r="H37" s="12">
        <f>+HydroDetail!D56</f>
        <v>7541655</v>
      </c>
      <c r="I37" s="12">
        <f>+HydroDetail!D76</f>
        <v>7217155</v>
      </c>
      <c r="J37" s="13">
        <f>+HeatingDetail!P37</f>
        <v>0.35</v>
      </c>
      <c r="K37" s="14">
        <f>+HydroDetail!N36</f>
        <v>0.09</v>
      </c>
      <c r="L37" s="14">
        <f>+HydroDetail!N56</f>
        <v>0.08</v>
      </c>
      <c r="M37" s="14">
        <f>+HydroDetail!Q76</f>
        <v>0.08</v>
      </c>
      <c r="N37" s="14">
        <f>+HeatingDetail!Q37</f>
        <v>0.32</v>
      </c>
      <c r="O37" s="14">
        <f>+HydroDetail!O36</f>
        <v>0.09</v>
      </c>
      <c r="P37" s="14">
        <f>+HydroDetail!O56</f>
        <v>0.09</v>
      </c>
      <c r="Q37" s="14">
        <f>+HydroDetail!R76</f>
        <v>0.09</v>
      </c>
    </row>
    <row r="38" spans="1:17" x14ac:dyDescent="0.2">
      <c r="A38" s="12" t="s">
        <v>11</v>
      </c>
      <c r="B38" s="12">
        <f>+HeatingDetail!B38</f>
        <v>347894</v>
      </c>
      <c r="C38" s="12">
        <f>+HydroDetail!B37</f>
        <v>819803</v>
      </c>
      <c r="D38" s="12">
        <f>+HydroDetail!B57</f>
        <v>705968</v>
      </c>
      <c r="E38" s="12">
        <f>+HydroDetail!B77</f>
        <v>773616</v>
      </c>
      <c r="F38" s="12">
        <f>+HeatingDetail!D38</f>
        <v>1987410</v>
      </c>
      <c r="G38" s="12">
        <f>+HydroDetail!D37</f>
        <v>7910504</v>
      </c>
      <c r="H38" s="12">
        <f>+HydroDetail!D57</f>
        <v>8247623</v>
      </c>
      <c r="I38" s="12">
        <f>+HydroDetail!D77</f>
        <v>7990771</v>
      </c>
      <c r="J38" s="13">
        <f>+HeatingDetail!P38</f>
        <v>0.3</v>
      </c>
      <c r="K38" s="14">
        <f>+HydroDetail!N37</f>
        <v>0.08</v>
      </c>
      <c r="L38" s="14">
        <f>+HydroDetail!N57</f>
        <v>0.1</v>
      </c>
      <c r="M38" s="14">
        <f>+HydroDetail!Q77</f>
        <v>0.09</v>
      </c>
      <c r="N38" s="14">
        <f>+HeatingDetail!Q38</f>
        <v>0.31</v>
      </c>
      <c r="O38" s="14">
        <f>+HydroDetail!O37</f>
        <v>0.09</v>
      </c>
      <c r="P38" s="14">
        <f>+HydroDetail!O57</f>
        <v>0.09</v>
      </c>
      <c r="Q38" s="14">
        <f>+HydroDetail!R77</f>
        <v>0.09</v>
      </c>
    </row>
    <row r="39" spans="1:17" x14ac:dyDescent="0.2">
      <c r="A39" s="12" t="s">
        <v>12</v>
      </c>
      <c r="B39" s="12">
        <f>+HeatingDetail!B39</f>
        <v>342001</v>
      </c>
      <c r="C39" s="12">
        <f>+HydroDetail!B38</f>
        <v>806224</v>
      </c>
      <c r="D39" s="12">
        <f>+HydroDetail!B58</f>
        <v>887272</v>
      </c>
      <c r="E39" s="12">
        <f>+HydroDetail!B78</f>
        <v>877814</v>
      </c>
      <c r="F39" s="12">
        <f>+HeatingDetail!D39</f>
        <v>2329411</v>
      </c>
      <c r="G39" s="12">
        <f>+HydroDetail!D38</f>
        <v>8716728</v>
      </c>
      <c r="H39" s="12">
        <f>+HydroDetail!D58</f>
        <v>9134895</v>
      </c>
      <c r="I39" s="12">
        <f>+HydroDetail!D78</f>
        <v>8868585</v>
      </c>
      <c r="J39" s="13">
        <f>+HeatingDetail!P39</f>
        <v>0.36</v>
      </c>
      <c r="K39" s="14">
        <f>+HydroDetail!N38</f>
        <v>7.0000000000000007E-2</v>
      </c>
      <c r="L39" s="14">
        <f>+HydroDetail!N58</f>
        <v>7.0000000000000007E-2</v>
      </c>
      <c r="M39" s="14">
        <f>+HydroDetail!Q78</f>
        <v>0.09</v>
      </c>
      <c r="N39" s="14">
        <f>+HeatingDetail!Q39</f>
        <v>0.32</v>
      </c>
      <c r="O39" s="14">
        <f>+HydroDetail!O38</f>
        <v>0.09</v>
      </c>
      <c r="P39" s="14">
        <f>+HydroDetail!O58</f>
        <v>0.09</v>
      </c>
      <c r="Q39" s="14">
        <f>+HydroDetail!R78</f>
        <v>0.09</v>
      </c>
    </row>
    <row r="40" spans="1:17" x14ac:dyDescent="0.2">
      <c r="A40" s="12" t="s">
        <v>13</v>
      </c>
      <c r="B40" s="12">
        <f>+HeatingDetail!B40</f>
        <v>294721</v>
      </c>
      <c r="C40" s="12">
        <f>+HydroDetail!B39</f>
        <v>769236</v>
      </c>
      <c r="D40" s="12">
        <f>+HydroDetail!B59</f>
        <v>768469</v>
      </c>
      <c r="E40" s="12">
        <f>+HydroDetail!B79</f>
        <v>750396</v>
      </c>
      <c r="F40" s="12">
        <f>+HeatingDetail!D40</f>
        <v>2624132</v>
      </c>
      <c r="G40" s="12">
        <f>+HydroDetail!D39</f>
        <v>9485964</v>
      </c>
      <c r="H40" s="12">
        <f>+HydroDetail!D59</f>
        <v>9903364</v>
      </c>
      <c r="I40" s="12">
        <f>+HydroDetail!D79</f>
        <v>9618981</v>
      </c>
      <c r="J40" s="13">
        <f>+HeatingDetail!P40</f>
        <v>0.35</v>
      </c>
      <c r="K40" s="14">
        <f>+HydroDetail!N39</f>
        <v>0.1</v>
      </c>
      <c r="L40" s="14">
        <f>+HydroDetail!N59</f>
        <v>0.08</v>
      </c>
      <c r="M40" s="14">
        <f>+HydroDetail!Q79</f>
        <v>0.08</v>
      </c>
      <c r="N40" s="14">
        <f>+HeatingDetail!Q40</f>
        <v>0.32</v>
      </c>
      <c r="O40" s="14">
        <f>+HydroDetail!O39</f>
        <v>0.09</v>
      </c>
      <c r="P40" s="14">
        <f>+HydroDetail!O59</f>
        <v>0.09</v>
      </c>
      <c r="Q40" s="14">
        <f>+HydroDetail!R79</f>
        <v>0.09</v>
      </c>
    </row>
    <row r="41" spans="1:17" x14ac:dyDescent="0.2">
      <c r="A41" s="12" t="s">
        <v>14</v>
      </c>
      <c r="B41" s="12">
        <f>+HeatingDetail!B41</f>
        <v>0</v>
      </c>
      <c r="C41" s="12">
        <f>+HydroDetail!B40</f>
        <v>808810</v>
      </c>
      <c r="D41" s="12">
        <f>+HydroDetail!B60</f>
        <v>768767</v>
      </c>
      <c r="E41" s="12">
        <f>+HydroDetail!B80</f>
        <v>758028</v>
      </c>
      <c r="F41" s="12">
        <f>+HeatingDetail!D41</f>
        <v>0</v>
      </c>
      <c r="G41" s="12">
        <f>+HydroDetail!D40</f>
        <v>10294774</v>
      </c>
      <c r="H41" s="12">
        <f>+HydroDetail!D60</f>
        <v>10672131</v>
      </c>
      <c r="I41" s="12">
        <f>+HydroDetail!D80</f>
        <v>10377009</v>
      </c>
      <c r="J41" s="13">
        <f>+HeatingDetail!P41</f>
        <v>0</v>
      </c>
      <c r="K41" s="14">
        <f>+HydroDetail!N40</f>
        <v>0.09</v>
      </c>
      <c r="L41" s="14">
        <f>+HydroDetail!N60</f>
        <v>0.1</v>
      </c>
      <c r="M41" s="14">
        <f>+HydroDetail!Q80</f>
        <v>7.0000000000000007E-2</v>
      </c>
      <c r="N41" s="14">
        <f>+HeatingDetail!Q41</f>
        <v>0</v>
      </c>
      <c r="O41" s="14">
        <f>+HydroDetail!O40</f>
        <v>0.09</v>
      </c>
      <c r="P41" s="14">
        <f>+HydroDetail!O60</f>
        <v>0.09</v>
      </c>
      <c r="Q41" s="14">
        <f>+HydroDetail!R80</f>
        <v>0.09</v>
      </c>
    </row>
    <row r="45" spans="1:17" x14ac:dyDescent="0.2">
      <c r="A45" t="s">
        <v>42</v>
      </c>
    </row>
    <row r="47" spans="1:17" x14ac:dyDescent="0.2">
      <c r="A47" s="5"/>
      <c r="B47" s="6"/>
      <c r="C47" s="6"/>
      <c r="D47" s="6"/>
      <c r="E47" s="6"/>
      <c r="F47" s="7" t="s">
        <v>2</v>
      </c>
      <c r="G47" s="7" t="s">
        <v>26</v>
      </c>
      <c r="H47" s="7" t="s">
        <v>27</v>
      </c>
      <c r="I47" s="7" t="s">
        <v>29</v>
      </c>
      <c r="J47" s="7" t="s">
        <v>2</v>
      </c>
      <c r="K47" s="7" t="s">
        <v>26</v>
      </c>
      <c r="L47" s="7" t="s">
        <v>27</v>
      </c>
      <c r="M47" s="7" t="s">
        <v>29</v>
      </c>
      <c r="N47" s="7" t="s">
        <v>2</v>
      </c>
      <c r="O47" s="6" t="s">
        <v>26</v>
      </c>
      <c r="P47" s="6" t="s">
        <v>27</v>
      </c>
      <c r="Q47" s="6" t="s">
        <v>29</v>
      </c>
    </row>
    <row r="48" spans="1:17" x14ac:dyDescent="0.2">
      <c r="A48" s="8"/>
      <c r="B48" s="9" t="s">
        <v>2</v>
      </c>
      <c r="C48" s="10" t="s">
        <v>26</v>
      </c>
      <c r="D48" s="10" t="s">
        <v>27</v>
      </c>
      <c r="E48" s="10" t="s">
        <v>29</v>
      </c>
      <c r="F48" s="9" t="s">
        <v>30</v>
      </c>
      <c r="G48" s="9" t="s">
        <v>30</v>
      </c>
      <c r="H48" s="9" t="s">
        <v>30</v>
      </c>
      <c r="I48" s="9" t="s">
        <v>30</v>
      </c>
      <c r="J48" s="9" t="s">
        <v>34</v>
      </c>
      <c r="K48" s="9" t="s">
        <v>34</v>
      </c>
      <c r="L48" s="9" t="s">
        <v>34</v>
      </c>
      <c r="M48" s="9" t="s">
        <v>34</v>
      </c>
      <c r="N48" s="9" t="s">
        <v>30</v>
      </c>
      <c r="O48" s="9" t="s">
        <v>30</v>
      </c>
      <c r="P48" s="9" t="s">
        <v>30</v>
      </c>
      <c r="Q48" s="9" t="s">
        <v>30</v>
      </c>
    </row>
    <row r="49" spans="1:17" x14ac:dyDescent="0.2">
      <c r="A49" s="11" t="s">
        <v>36</v>
      </c>
      <c r="B49" s="9" t="s">
        <v>15</v>
      </c>
      <c r="C49" s="9" t="s">
        <v>38</v>
      </c>
      <c r="D49" s="9" t="s">
        <v>38</v>
      </c>
      <c r="E49" s="9" t="s">
        <v>38</v>
      </c>
      <c r="F49" s="9" t="s">
        <v>15</v>
      </c>
      <c r="G49" s="9" t="s">
        <v>38</v>
      </c>
      <c r="H49" s="9" t="s">
        <v>38</v>
      </c>
      <c r="I49" s="9" t="s">
        <v>38</v>
      </c>
      <c r="J49" s="9" t="s">
        <v>37</v>
      </c>
      <c r="K49" s="9" t="s">
        <v>43</v>
      </c>
      <c r="L49" s="9" t="s">
        <v>43</v>
      </c>
      <c r="M49" s="9" t="s">
        <v>43</v>
      </c>
      <c r="N49" s="9" t="s">
        <v>33</v>
      </c>
      <c r="O49" s="9" t="s">
        <v>41</v>
      </c>
      <c r="P49" s="9" t="s">
        <v>41</v>
      </c>
      <c r="Q49" s="9" t="s">
        <v>41</v>
      </c>
    </row>
    <row r="50" spans="1:17" x14ac:dyDescent="0.2">
      <c r="A50" s="1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x14ac:dyDescent="0.2">
      <c r="A51" s="12" t="s">
        <v>3</v>
      </c>
      <c r="B51" s="12">
        <f>+HeatingDetail!B51</f>
        <v>142603</v>
      </c>
      <c r="C51" s="12">
        <f>+HydroDetail!B50</f>
        <v>804928</v>
      </c>
      <c r="D51" s="12">
        <f>+HydroDetail!B70</f>
        <v>782174</v>
      </c>
      <c r="E51" s="12">
        <f>+HydroDetail!B90</f>
        <v>796834</v>
      </c>
      <c r="F51" s="12">
        <f>+HeatingDetail!D51</f>
        <v>546135</v>
      </c>
      <c r="G51" s="12">
        <f>+HydroDetail!D50</f>
        <v>1584154</v>
      </c>
      <c r="H51" s="12">
        <f>+HydroDetail!D70</f>
        <v>1628976</v>
      </c>
      <c r="I51" s="12">
        <f>+HydroDetail!D90</f>
        <v>1627639</v>
      </c>
      <c r="J51" s="13">
        <f>+HeatingDetail!P51</f>
        <v>0.31</v>
      </c>
      <c r="K51" s="14">
        <f>+HydroDetail!N50</f>
        <v>0.08</v>
      </c>
      <c r="L51" s="80">
        <f>+HydroDetail!Q70</f>
        <v>0.08</v>
      </c>
      <c r="M51" s="14">
        <f>+HydroDetail!Q90</f>
        <v>0.09</v>
      </c>
      <c r="N51" s="14">
        <f>+HeatingDetail!Q51</f>
        <v>0.33</v>
      </c>
      <c r="O51" s="14">
        <f>+HydroDetail!O50</f>
        <v>0.08</v>
      </c>
      <c r="P51" s="14">
        <f>+HydroDetail!O70</f>
        <v>4.2999999999999997E-2</v>
      </c>
      <c r="Q51" s="14">
        <f>+HydroDetail!R90</f>
        <v>0.08</v>
      </c>
    </row>
    <row r="52" spans="1:17" x14ac:dyDescent="0.2">
      <c r="A52" s="12" t="s">
        <v>4</v>
      </c>
      <c r="B52" s="12">
        <f>+HeatingDetail!B52</f>
        <v>144444</v>
      </c>
      <c r="C52" s="12">
        <f>+HydroDetail!B51</f>
        <v>1086759</v>
      </c>
      <c r="D52" s="12">
        <f>+HydroDetail!B71</f>
        <v>872356</v>
      </c>
      <c r="E52" s="12">
        <f>+HydroDetail!B91</f>
        <v>835385</v>
      </c>
      <c r="F52" s="12">
        <f>+HeatingDetail!D52</f>
        <v>690579</v>
      </c>
      <c r="G52" s="12">
        <f>+HydroDetail!D51</f>
        <v>2670913</v>
      </c>
      <c r="H52" s="12">
        <f>+HydroDetail!D71</f>
        <v>2501332</v>
      </c>
      <c r="I52" s="12">
        <f>+HydroDetail!D91</f>
        <v>2463024</v>
      </c>
      <c r="J52" s="13">
        <f>+HeatingDetail!P52</f>
        <v>0.28999999999999998</v>
      </c>
      <c r="K52" s="14">
        <f>+HydroDetail!N51</f>
        <v>0.09</v>
      </c>
      <c r="L52" s="80">
        <f>+HydroDetail!Q71</f>
        <v>0.11</v>
      </c>
      <c r="M52" s="14">
        <f>+HydroDetail!Q91</f>
        <v>7.0000000000000007E-2</v>
      </c>
      <c r="N52" s="14">
        <f>+HeatingDetail!Q52</f>
        <v>0.33</v>
      </c>
      <c r="O52" s="14">
        <f>+HydroDetail!O51</f>
        <v>0.08</v>
      </c>
      <c r="P52" s="14">
        <f>+HydroDetail!O71</f>
        <v>6.7000000000000004E-2</v>
      </c>
      <c r="Q52" s="14">
        <f>+HydroDetail!R91</f>
        <v>7.0000000000000007E-2</v>
      </c>
    </row>
    <row r="53" spans="1:17" x14ac:dyDescent="0.2">
      <c r="A53" s="12" t="s">
        <v>5</v>
      </c>
      <c r="B53" s="12">
        <f>+HeatingDetail!B53</f>
        <v>148976</v>
      </c>
      <c r="C53" s="12">
        <f>+HydroDetail!B52</f>
        <v>971214</v>
      </c>
      <c r="D53" s="12">
        <f>+HydroDetail!B72</f>
        <v>1108503</v>
      </c>
      <c r="E53" s="12">
        <f>+HydroDetail!B92</f>
        <v>1090266</v>
      </c>
      <c r="F53" s="12">
        <f>+HeatingDetail!D53</f>
        <v>839555</v>
      </c>
      <c r="G53" s="12">
        <f>+HydroDetail!D52</f>
        <v>3642127</v>
      </c>
      <c r="H53" s="12">
        <f>+HydroDetail!D72</f>
        <v>3609835</v>
      </c>
      <c r="I53" s="12">
        <f>+HydroDetail!D92</f>
        <v>3553290</v>
      </c>
      <c r="J53" s="13">
        <f>+HeatingDetail!P53</f>
        <v>0.26</v>
      </c>
      <c r="K53" s="14">
        <f>+HydroDetail!N52</f>
        <v>0.09</v>
      </c>
      <c r="L53" s="80">
        <f>+HydroDetail!Q72</f>
        <v>0.1</v>
      </c>
      <c r="M53" s="14">
        <f>+HydroDetail!Q92</f>
        <v>0.08</v>
      </c>
      <c r="N53" s="14">
        <f>+HeatingDetail!Q53</f>
        <v>0.31</v>
      </c>
      <c r="O53" s="14">
        <f>+HydroDetail!O52</f>
        <v>0.09</v>
      </c>
      <c r="P53" s="14">
        <f>+HydroDetail!O72</f>
        <v>6.5000000000000002E-2</v>
      </c>
      <c r="Q53" s="14">
        <f>+HydroDetail!R92</f>
        <v>0.08</v>
      </c>
    </row>
    <row r="54" spans="1:17" x14ac:dyDescent="0.2">
      <c r="A54" s="12" t="s">
        <v>6</v>
      </c>
      <c r="B54" s="12">
        <f>+HeatingDetail!B54</f>
        <v>145095</v>
      </c>
      <c r="C54" s="12">
        <f>+HydroDetail!B53</f>
        <v>1128197</v>
      </c>
      <c r="D54" s="12">
        <f>+HydroDetail!B73</f>
        <v>1024661</v>
      </c>
      <c r="E54" s="12">
        <f>+HydroDetail!B93</f>
        <v>1051544</v>
      </c>
      <c r="F54" s="12">
        <f>+HeatingDetail!D54</f>
        <v>984650</v>
      </c>
      <c r="G54" s="12">
        <f>+HydroDetail!D53</f>
        <v>4770324</v>
      </c>
      <c r="H54" s="12">
        <f>+HydroDetail!D73</f>
        <v>4634496</v>
      </c>
      <c r="I54" s="12">
        <f>+HydroDetail!D93</f>
        <v>4604834</v>
      </c>
      <c r="J54" s="13">
        <f>+HeatingDetail!P54</f>
        <v>0.27</v>
      </c>
      <c r="K54" s="14">
        <f>+HydroDetail!N53</f>
        <v>0.09</v>
      </c>
      <c r="L54" s="80">
        <f>+HydroDetail!Q73</f>
        <v>0.09</v>
      </c>
      <c r="M54" s="14">
        <f>+HydroDetail!Q93</f>
        <v>0.09</v>
      </c>
      <c r="N54" s="14">
        <f>+HeatingDetail!Q54</f>
        <v>0.31</v>
      </c>
      <c r="O54" s="14">
        <f>+HydroDetail!O53</f>
        <v>0.09</v>
      </c>
      <c r="P54" s="14">
        <f>+HydroDetail!O73</f>
        <v>5.7000000000000002E-2</v>
      </c>
      <c r="Q54" s="14">
        <f>+HydroDetail!R93</f>
        <v>0.08</v>
      </c>
    </row>
    <row r="55" spans="1:17" x14ac:dyDescent="0.2">
      <c r="A55" s="12" t="s">
        <v>7</v>
      </c>
      <c r="B55" s="12">
        <f>+HeatingDetail!B55</f>
        <v>181638</v>
      </c>
      <c r="C55" s="12">
        <f>+HydroDetail!B54</f>
        <v>1074987</v>
      </c>
      <c r="D55" s="12">
        <f>+HydroDetail!B74</f>
        <v>946292</v>
      </c>
      <c r="E55" s="12">
        <f>+HydroDetail!B94</f>
        <v>857404</v>
      </c>
      <c r="F55" s="12">
        <f>+HeatingDetail!D55</f>
        <v>1166288</v>
      </c>
      <c r="G55" s="12">
        <f>+HydroDetail!D54</f>
        <v>5845311</v>
      </c>
      <c r="H55" s="12">
        <f>+HydroDetail!D74</f>
        <v>5580788</v>
      </c>
      <c r="I55" s="12">
        <f>+HydroDetail!D94</f>
        <v>5462238</v>
      </c>
      <c r="J55" s="13">
        <f>+HeatingDetail!P55</f>
        <v>0.32</v>
      </c>
      <c r="K55" s="14">
        <f>+HydroDetail!N54</f>
        <v>0.09</v>
      </c>
      <c r="L55" s="80">
        <f>+HydroDetail!Q74</f>
        <v>0.1</v>
      </c>
      <c r="M55" s="14">
        <f>+HydroDetail!Q94</f>
        <v>0.08</v>
      </c>
      <c r="N55" s="14">
        <f>+HeatingDetail!Q55</f>
        <v>0.31</v>
      </c>
      <c r="O55" s="14">
        <f>+HydroDetail!O54</f>
        <v>0.09</v>
      </c>
      <c r="P55" s="14">
        <f>+HydroDetail!O74</f>
        <v>0.06</v>
      </c>
      <c r="Q55" s="14">
        <f>+HydroDetail!R94</f>
        <v>0.08</v>
      </c>
    </row>
    <row r="56" spans="1:17" x14ac:dyDescent="0.2">
      <c r="A56" s="12" t="s">
        <v>8</v>
      </c>
      <c r="B56" s="12">
        <f>+HeatingDetail!B56</f>
        <v>252855</v>
      </c>
      <c r="C56" s="12">
        <f>+HydroDetail!B55</f>
        <v>891519</v>
      </c>
      <c r="D56" s="12">
        <f>+HydroDetail!B75</f>
        <v>873002</v>
      </c>
      <c r="E56" s="12">
        <f>+HydroDetail!B95</f>
        <v>623960</v>
      </c>
      <c r="F56" s="12">
        <f>+HeatingDetail!D56</f>
        <v>1419143</v>
      </c>
      <c r="G56" s="12">
        <f>+HydroDetail!D55</f>
        <v>6736830</v>
      </c>
      <c r="H56" s="12">
        <f>+HydroDetail!D75</f>
        <v>6453790</v>
      </c>
      <c r="I56" s="12">
        <f>+HydroDetail!D95</f>
        <v>6086198</v>
      </c>
      <c r="J56" s="13">
        <f>+HeatingDetail!P56</f>
        <v>0.28999999999999998</v>
      </c>
      <c r="K56" s="14">
        <f>+HydroDetail!N55</f>
        <v>0.1</v>
      </c>
      <c r="L56" s="80">
        <f>+HydroDetail!Q75</f>
        <v>0.09</v>
      </c>
      <c r="M56" s="14">
        <f>+HydroDetail!Q95</f>
        <v>0.09</v>
      </c>
      <c r="N56" s="14">
        <f>+HeatingDetail!Q56</f>
        <v>0.3</v>
      </c>
      <c r="O56" s="14">
        <f>+HydroDetail!O55</f>
        <v>0.09</v>
      </c>
      <c r="P56" s="14">
        <f>+HydroDetail!O75</f>
        <v>4.9000000000000002E-2</v>
      </c>
      <c r="Q56" s="14">
        <f>+HydroDetail!R95</f>
        <v>0.08</v>
      </c>
    </row>
    <row r="57" spans="1:17" x14ac:dyDescent="0.2">
      <c r="A57" s="12" t="s">
        <v>9</v>
      </c>
      <c r="B57" s="12">
        <f>+HeatingDetail!B57</f>
        <v>319028</v>
      </c>
      <c r="C57" s="12">
        <f>+HydroDetail!B56</f>
        <v>804825</v>
      </c>
      <c r="D57" s="12">
        <f>+HydroDetail!B76</f>
        <v>763365</v>
      </c>
      <c r="E57" s="12">
        <f>+HydroDetail!B96</f>
        <v>599283</v>
      </c>
      <c r="F57" s="12">
        <f>+HeatingDetail!D57</f>
        <v>1738171</v>
      </c>
      <c r="G57" s="12">
        <f>+HydroDetail!D56</f>
        <v>7541655</v>
      </c>
      <c r="H57" s="12">
        <f>+HydroDetail!D76</f>
        <v>7217155</v>
      </c>
      <c r="I57" s="12">
        <f>+HydroDetail!D96</f>
        <v>6685481</v>
      </c>
      <c r="J57" s="13">
        <f>+HeatingDetail!P57</f>
        <v>0.3</v>
      </c>
      <c r="K57" s="14">
        <f>+HydroDetail!N56</f>
        <v>0.08</v>
      </c>
      <c r="L57" s="80">
        <f>+HydroDetail!Q76</f>
        <v>0.08</v>
      </c>
      <c r="M57" s="14">
        <f>+HydroDetail!Q96</f>
        <v>0.09</v>
      </c>
      <c r="N57" s="14">
        <f>+HeatingDetail!Q57</f>
        <v>0.3</v>
      </c>
      <c r="O57" s="14">
        <f>+HydroDetail!O56</f>
        <v>0.09</v>
      </c>
      <c r="P57" s="14">
        <f>+HydroDetail!O76</f>
        <v>5.5E-2</v>
      </c>
      <c r="Q57" s="14">
        <f>+HydroDetail!R96</f>
        <v>0.08</v>
      </c>
    </row>
    <row r="58" spans="1:17" x14ac:dyDescent="0.2">
      <c r="A58" s="12" t="s">
        <v>10</v>
      </c>
      <c r="B58" s="12">
        <f>+HeatingDetail!B58</f>
        <v>320020</v>
      </c>
      <c r="C58" s="12">
        <f>+HydroDetail!B57</f>
        <v>705968</v>
      </c>
      <c r="D58" s="12">
        <f>+HydroDetail!B77</f>
        <v>773616</v>
      </c>
      <c r="E58" s="12">
        <f>+HydroDetail!B97</f>
        <v>625031</v>
      </c>
      <c r="F58" s="12">
        <f>+HeatingDetail!D58</f>
        <v>2058191</v>
      </c>
      <c r="G58" s="12">
        <f>+HydroDetail!D57</f>
        <v>8247623</v>
      </c>
      <c r="H58" s="12">
        <f>+HydroDetail!D77</f>
        <v>7990771</v>
      </c>
      <c r="I58" s="12">
        <f>+HydroDetail!D97</f>
        <v>7310512</v>
      </c>
      <c r="J58" s="13">
        <f>+HeatingDetail!P58</f>
        <v>0.36</v>
      </c>
      <c r="K58" s="14">
        <f>+HydroDetail!N57</f>
        <v>0.1</v>
      </c>
      <c r="L58" s="80">
        <f>+HydroDetail!Q77</f>
        <v>0.09</v>
      </c>
      <c r="M58" s="14">
        <f>+HydroDetail!Q97</f>
        <v>0.09</v>
      </c>
      <c r="N58" s="14">
        <f>+HeatingDetail!Q58</f>
        <v>0.31</v>
      </c>
      <c r="O58" s="14">
        <f>+HydroDetail!O57</f>
        <v>0.09</v>
      </c>
      <c r="P58" s="14">
        <f>+HydroDetail!O77</f>
        <v>6.2E-2</v>
      </c>
      <c r="Q58" s="14">
        <f>+HydroDetail!R97</f>
        <v>0.08</v>
      </c>
    </row>
    <row r="59" spans="1:17" x14ac:dyDescent="0.2">
      <c r="A59" s="12" t="s">
        <v>11</v>
      </c>
      <c r="B59" s="12">
        <f>+HeatingDetail!B59</f>
        <v>333135</v>
      </c>
      <c r="C59" s="12">
        <f>+HydroDetail!B58</f>
        <v>887272</v>
      </c>
      <c r="D59" s="12">
        <f>+HydroDetail!B78</f>
        <v>877814</v>
      </c>
      <c r="E59" s="12">
        <f>+HydroDetail!B98</f>
        <v>687148</v>
      </c>
      <c r="F59" s="12">
        <f>+HeatingDetail!D59</f>
        <v>2391326</v>
      </c>
      <c r="G59" s="12">
        <f>+HydroDetail!D58</f>
        <v>9134895</v>
      </c>
      <c r="H59" s="12">
        <f>+HydroDetail!D78</f>
        <v>8868585</v>
      </c>
      <c r="I59" s="12">
        <f>+HydroDetail!D98</f>
        <v>7997660</v>
      </c>
      <c r="J59" s="13">
        <f>+HeatingDetail!P59</f>
        <v>0.34</v>
      </c>
      <c r="K59" s="14">
        <f>+HydroDetail!N58</f>
        <v>7.0000000000000007E-2</v>
      </c>
      <c r="L59" s="80">
        <f>+HydroDetail!Q78</f>
        <v>0.09</v>
      </c>
      <c r="M59" s="14">
        <f>+HydroDetail!Q98</f>
        <v>0.09</v>
      </c>
      <c r="N59" s="14">
        <f>+HeatingDetail!Q59</f>
        <v>0.32</v>
      </c>
      <c r="O59" s="14">
        <f>+HydroDetail!O58</f>
        <v>0.09</v>
      </c>
      <c r="P59" s="14">
        <f>+HydroDetail!O78</f>
        <v>5.7000000000000002E-2</v>
      </c>
      <c r="Q59" s="14">
        <f>+HydroDetail!R98</f>
        <v>0.08</v>
      </c>
    </row>
    <row r="60" spans="1:17" x14ac:dyDescent="0.2">
      <c r="A60" s="12" t="s">
        <v>12</v>
      </c>
      <c r="B60" s="12">
        <f>+HeatingDetail!B60</f>
        <v>365430</v>
      </c>
      <c r="C60" s="12">
        <f>+HydroDetail!B59</f>
        <v>768469</v>
      </c>
      <c r="D60" s="12">
        <f>+HydroDetail!B79</f>
        <v>750396</v>
      </c>
      <c r="E60" s="12">
        <f>+HydroDetail!B99</f>
        <v>632474</v>
      </c>
      <c r="F60" s="12">
        <f>+HeatingDetail!D60</f>
        <v>2756756</v>
      </c>
      <c r="G60" s="12">
        <f>+HydroDetail!D59</f>
        <v>9903364</v>
      </c>
      <c r="H60" s="12">
        <f>+HydroDetail!D79</f>
        <v>9618981</v>
      </c>
      <c r="I60" s="12">
        <f>+HydroDetail!D99</f>
        <v>8630134</v>
      </c>
      <c r="J60" s="13">
        <f>+HeatingDetail!P60</f>
        <v>0.4</v>
      </c>
      <c r="K60" s="14">
        <f>+HydroDetail!N59</f>
        <v>0.08</v>
      </c>
      <c r="L60" s="80">
        <f>+HydroDetail!Q79</f>
        <v>0.08</v>
      </c>
      <c r="M60" s="14">
        <f>+HydroDetail!Q99</f>
        <v>0.09</v>
      </c>
      <c r="N60" s="14">
        <f>+HeatingDetail!Q60</f>
        <v>0.33</v>
      </c>
      <c r="O60" s="14">
        <f>+HydroDetail!O59</f>
        <v>0.09</v>
      </c>
      <c r="P60" s="14">
        <f>+HydroDetail!O79</f>
        <v>6.0999999999999999E-2</v>
      </c>
      <c r="Q60" s="14">
        <f>+HydroDetail!R99</f>
        <v>0.08</v>
      </c>
    </row>
    <row r="61" spans="1:17" x14ac:dyDescent="0.2">
      <c r="A61" s="12" t="s">
        <v>13</v>
      </c>
      <c r="B61" s="12">
        <f>+HeatingDetail!B61</f>
        <v>0</v>
      </c>
      <c r="C61" s="12">
        <f>+HydroDetail!B60</f>
        <v>768767</v>
      </c>
      <c r="D61" s="12">
        <f>+HydroDetail!B80</f>
        <v>758028</v>
      </c>
      <c r="E61" s="12">
        <f>+HydroDetail!B100</f>
        <v>606417</v>
      </c>
      <c r="F61" s="12">
        <f>+HeatingDetail!D61</f>
        <v>0</v>
      </c>
      <c r="G61" s="12">
        <f>+HydroDetail!D60</f>
        <v>10672131</v>
      </c>
      <c r="H61" s="12">
        <f>+HydroDetail!D80</f>
        <v>10377009</v>
      </c>
      <c r="I61" s="12">
        <f>+HydroDetail!D100</f>
        <v>9236551</v>
      </c>
      <c r="J61" s="13">
        <f>+HeatingDetail!P61</f>
        <v>0</v>
      </c>
      <c r="K61" s="14">
        <f>+HydroDetail!N60</f>
        <v>0.1</v>
      </c>
      <c r="L61" s="80">
        <f>+HydroDetail!Q80</f>
        <v>7.0000000000000007E-2</v>
      </c>
      <c r="M61" s="14">
        <f>+HydroDetail!Q100</f>
        <v>0.08</v>
      </c>
      <c r="N61" s="14">
        <f>+HeatingDetail!Q61</f>
        <v>0</v>
      </c>
      <c r="O61" s="14">
        <f>+HydroDetail!O60</f>
        <v>0.09</v>
      </c>
      <c r="P61" s="14">
        <f>+HydroDetail!O80</f>
        <v>4.4999999999999998E-2</v>
      </c>
      <c r="Q61" s="14">
        <f>+HydroDetail!R100</f>
        <v>0.08</v>
      </c>
    </row>
    <row r="62" spans="1:17" x14ac:dyDescent="0.2">
      <c r="A62" s="12" t="s">
        <v>14</v>
      </c>
      <c r="B62" s="12">
        <f>+HeatingDetail!B62</f>
        <v>2756756</v>
      </c>
      <c r="C62" s="12">
        <f>+HydroDetail!B61</f>
        <v>0</v>
      </c>
      <c r="D62" s="12">
        <f>+HydroDetail!B81</f>
        <v>0</v>
      </c>
      <c r="E62" s="12">
        <f>+HydroDetail!B101</f>
        <v>0</v>
      </c>
      <c r="F62" s="12">
        <f>+HeatingDetail!D62</f>
        <v>0</v>
      </c>
      <c r="G62" s="12">
        <f>+HydroDetail!D61</f>
        <v>0</v>
      </c>
      <c r="H62" s="12">
        <f>+HydroDetail!D81</f>
        <v>0</v>
      </c>
      <c r="I62" s="12">
        <f>+HydroDetail!D101</f>
        <v>0</v>
      </c>
      <c r="J62" s="13">
        <f>+HeatingDetail!P62</f>
        <v>0.33</v>
      </c>
      <c r="K62" s="14">
        <f>+HydroDetail!N61</f>
        <v>0</v>
      </c>
      <c r="L62" s="14">
        <f>+HydroDetail!N81</f>
        <v>0</v>
      </c>
      <c r="M62" s="14">
        <f>+HydroDetail!Q101</f>
        <v>0</v>
      </c>
      <c r="N62" s="14">
        <f>+HeatingDetail!Q62</f>
        <v>0</v>
      </c>
      <c r="O62" s="14">
        <f>+HydroDetail!O61</f>
        <v>0</v>
      </c>
      <c r="P62" s="14">
        <f>+HydroDetail!O81</f>
        <v>0</v>
      </c>
      <c r="Q62" s="14">
        <f>+HydroDetail!R101</f>
        <v>0</v>
      </c>
    </row>
    <row r="64" spans="1:17" x14ac:dyDescent="0.2">
      <c r="A64" t="s">
        <v>126</v>
      </c>
      <c r="B64" s="50"/>
    </row>
    <row r="65" spans="1:2" x14ac:dyDescent="0.2">
      <c r="A65" t="s">
        <v>125</v>
      </c>
      <c r="B65" s="50"/>
    </row>
    <row r="66" spans="1:2" x14ac:dyDescent="0.2">
      <c r="B66" s="50"/>
    </row>
  </sheetData>
  <phoneticPr fontId="3" type="noConversion"/>
  <pageMargins left="0.75" right="0.75" top="1" bottom="1" header="0.5" footer="0.5"/>
  <pageSetup scale="86" orientation="landscape" r:id="rId1"/>
  <headerFooter alignWithMargins="0">
    <oddFooter>&amp;R&amp;D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AF63"/>
  <sheetViews>
    <sheetView topLeftCell="A40" zoomScale="80" workbookViewId="0">
      <selection activeCell="B50" sqref="B50"/>
    </sheetView>
  </sheetViews>
  <sheetFormatPr defaultRowHeight="12.75" x14ac:dyDescent="0.2"/>
  <cols>
    <col min="1" max="1" width="12.42578125" bestFit="1" customWidth="1"/>
    <col min="2" max="3" width="12" bestFit="1" customWidth="1"/>
    <col min="5" max="5" width="14.42578125" bestFit="1" customWidth="1"/>
    <col min="6" max="7" width="12" bestFit="1" customWidth="1"/>
    <col min="8" max="8" width="12.42578125" bestFit="1" customWidth="1"/>
    <col min="9" max="9" width="10.85546875" bestFit="1" customWidth="1"/>
    <col min="10" max="10" width="10.28515625" bestFit="1" customWidth="1"/>
    <col min="11" max="11" width="10.85546875" bestFit="1" customWidth="1"/>
    <col min="12" max="12" width="10.5703125" bestFit="1" customWidth="1"/>
    <col min="13" max="13" width="11.42578125" bestFit="1" customWidth="1"/>
    <col min="14" max="14" width="10.85546875" bestFit="1" customWidth="1"/>
    <col min="15" max="15" width="13.28515625" bestFit="1" customWidth="1"/>
    <col min="16" max="16" width="10.7109375" customWidth="1"/>
  </cols>
  <sheetData>
    <row r="3" spans="1:27" x14ac:dyDescent="0.2">
      <c r="B3" t="s">
        <v>31</v>
      </c>
    </row>
    <row r="4" spans="1:27" ht="38.25" x14ac:dyDescent="0.2">
      <c r="A4" s="1" t="s">
        <v>29</v>
      </c>
      <c r="B4" s="59" t="s">
        <v>64</v>
      </c>
      <c r="C4" s="59" t="s">
        <v>65</v>
      </c>
      <c r="D4" s="59" t="s">
        <v>66</v>
      </c>
      <c r="E4" s="59" t="s">
        <v>67</v>
      </c>
      <c r="F4" s="59" t="s">
        <v>68</v>
      </c>
      <c r="G4" s="59" t="s">
        <v>69</v>
      </c>
      <c r="H4" s="59" t="s">
        <v>70</v>
      </c>
      <c r="I4" s="59" t="s">
        <v>71</v>
      </c>
      <c r="J4" s="59" t="s">
        <v>72</v>
      </c>
      <c r="K4" s="59" t="s">
        <v>73</v>
      </c>
      <c r="L4" s="59" t="s">
        <v>74</v>
      </c>
      <c r="M4" s="59" t="s">
        <v>75</v>
      </c>
      <c r="N4" s="59" t="s">
        <v>76</v>
      </c>
      <c r="O4" s="59" t="s">
        <v>77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6" spans="1:27" x14ac:dyDescent="0.2">
      <c r="A6" t="s">
        <v>3</v>
      </c>
      <c r="B6" s="60">
        <v>846802</v>
      </c>
      <c r="C6" s="61">
        <v>46150.07</v>
      </c>
      <c r="D6" s="62">
        <f>ROUND(C6/B6,6)*100</f>
        <v>5.4498999999999995</v>
      </c>
      <c r="E6" s="61">
        <v>1877.03</v>
      </c>
      <c r="F6" s="62">
        <f>ROUND(E6/B6,6)*100</f>
        <v>0.22169999999999998</v>
      </c>
      <c r="G6" s="61">
        <v>14503.23</v>
      </c>
      <c r="H6" s="62">
        <f>ROUND(G6/B6,6)*100</f>
        <v>1.7126999999999999</v>
      </c>
      <c r="I6" s="61">
        <v>5250.42</v>
      </c>
      <c r="J6" s="62">
        <f>ROUND(I6/B6,6)*100</f>
        <v>0.62</v>
      </c>
      <c r="K6" s="61">
        <v>5428.22</v>
      </c>
      <c r="L6" s="62">
        <f>ROUND(K6/B6,6)*100</f>
        <v>0.64100000000000001</v>
      </c>
      <c r="M6" s="61">
        <v>-769.2</v>
      </c>
      <c r="N6" s="61">
        <v>3621.99</v>
      </c>
      <c r="O6" s="61">
        <f>+C6+E6+G6+I6+K6+M6+N6</f>
        <v>76061.760000000009</v>
      </c>
    </row>
    <row r="7" spans="1:27" x14ac:dyDescent="0.2">
      <c r="A7" t="s">
        <v>4</v>
      </c>
      <c r="B7" s="60">
        <v>782174</v>
      </c>
      <c r="C7" s="61">
        <v>30581.32</v>
      </c>
      <c r="D7" s="62">
        <f t="shared" ref="D7:D19" si="0">ROUND(C7/B7,6)*100</f>
        <v>3.9098000000000002</v>
      </c>
      <c r="E7" s="61">
        <v>3265.91</v>
      </c>
      <c r="F7" s="62">
        <f t="shared" ref="F7:F19" si="1">ROUND(E7/B7,6)*100</f>
        <v>0.41749999999999998</v>
      </c>
      <c r="G7" s="61">
        <v>18888.330000000002</v>
      </c>
      <c r="H7" s="62">
        <f t="shared" ref="H7:H19" si="2">ROUND(G7/B7,6)*100</f>
        <v>2.4148999999999998</v>
      </c>
      <c r="I7" s="61">
        <v>4849.7299999999996</v>
      </c>
      <c r="J7" s="62">
        <f t="shared" ref="J7:J19" si="3">ROUND(I7/B7,6)*100</f>
        <v>0.62</v>
      </c>
      <c r="K7" s="61">
        <v>5013.9399999999996</v>
      </c>
      <c r="L7" s="62">
        <f t="shared" ref="L7:L19" si="4">ROUND(K7/B7,6)*100</f>
        <v>0.64100000000000001</v>
      </c>
      <c r="M7" s="61">
        <v>-1824.26</v>
      </c>
      <c r="N7" s="61">
        <f>3079.8-91.21-1003.2</f>
        <v>1985.39</v>
      </c>
      <c r="O7" s="61">
        <f t="shared" ref="O7:O19" si="5">+C7+E7+G7+I7+K7+M7+N7</f>
        <v>62760.359999999993</v>
      </c>
    </row>
    <row r="8" spans="1:27" x14ac:dyDescent="0.2">
      <c r="A8" t="s">
        <v>5</v>
      </c>
      <c r="B8" s="60">
        <v>872356</v>
      </c>
      <c r="C8" s="61">
        <v>48715.17</v>
      </c>
      <c r="D8" s="62">
        <f t="shared" si="0"/>
        <v>5.5842999999999998</v>
      </c>
      <c r="E8" s="61">
        <v>10149.549999999999</v>
      </c>
      <c r="F8" s="62">
        <f t="shared" si="1"/>
        <v>1.1635</v>
      </c>
      <c r="G8" s="61">
        <v>22536.69</v>
      </c>
      <c r="H8" s="62">
        <f t="shared" si="2"/>
        <v>2.5834000000000001</v>
      </c>
      <c r="I8" s="61">
        <v>5408.86</v>
      </c>
      <c r="J8" s="62">
        <f t="shared" si="3"/>
        <v>0.62</v>
      </c>
      <c r="K8" s="61">
        <v>5592.03</v>
      </c>
      <c r="L8" s="62">
        <f t="shared" si="4"/>
        <v>0.64100000000000001</v>
      </c>
      <c r="M8" s="61">
        <v>-1197</v>
      </c>
      <c r="N8" s="61">
        <v>4560.2700000000004</v>
      </c>
      <c r="O8" s="61">
        <f t="shared" si="5"/>
        <v>95765.57</v>
      </c>
    </row>
    <row r="9" spans="1:27" x14ac:dyDescent="0.2">
      <c r="A9" t="s">
        <v>6</v>
      </c>
      <c r="B9" s="60">
        <v>1108503</v>
      </c>
      <c r="C9" s="61">
        <v>67064.31</v>
      </c>
      <c r="D9" s="62">
        <f t="shared" si="0"/>
        <v>6.05</v>
      </c>
      <c r="E9" s="61">
        <v>5298.14</v>
      </c>
      <c r="F9" s="62">
        <f t="shared" si="1"/>
        <v>0.47800000000000004</v>
      </c>
      <c r="G9" s="61">
        <v>23400.22</v>
      </c>
      <c r="H9" s="62">
        <f t="shared" si="2"/>
        <v>2.1110000000000002</v>
      </c>
      <c r="I9" s="61">
        <v>6872.97</v>
      </c>
      <c r="J9" s="62">
        <f t="shared" si="3"/>
        <v>0.62</v>
      </c>
      <c r="K9" s="61">
        <v>7105.79</v>
      </c>
      <c r="L9" s="62">
        <f t="shared" si="4"/>
        <v>0.64100000000000001</v>
      </c>
      <c r="M9" s="61">
        <v>-1244.4000000000001</v>
      </c>
      <c r="N9" s="61">
        <v>5424.85</v>
      </c>
      <c r="O9" s="61">
        <f t="shared" si="5"/>
        <v>113921.88</v>
      </c>
    </row>
    <row r="10" spans="1:27" x14ac:dyDescent="0.2">
      <c r="A10" t="s">
        <v>7</v>
      </c>
      <c r="B10" s="60">
        <v>1024661</v>
      </c>
      <c r="C10" s="61">
        <v>56643.27</v>
      </c>
      <c r="D10" s="62">
        <f t="shared" si="0"/>
        <v>5.5280000000000005</v>
      </c>
      <c r="E10" s="61">
        <v>2224.62</v>
      </c>
      <c r="F10" s="62">
        <f t="shared" si="1"/>
        <v>0.21710000000000002</v>
      </c>
      <c r="G10" s="61">
        <v>24173.4</v>
      </c>
      <c r="H10" s="62">
        <f t="shared" si="2"/>
        <v>2.3592</v>
      </c>
      <c r="I10" s="61">
        <v>6353.15</v>
      </c>
      <c r="J10" s="62">
        <f t="shared" si="3"/>
        <v>0.62</v>
      </c>
      <c r="K10" s="61">
        <v>6568.34</v>
      </c>
      <c r="L10" s="62">
        <f t="shared" si="4"/>
        <v>0.64100000000000001</v>
      </c>
      <c r="M10" s="61">
        <f>-1287-5973.44</f>
        <v>-7260.44</v>
      </c>
      <c r="N10" s="61">
        <f>4733.79-298.67</f>
        <v>4435.12</v>
      </c>
      <c r="O10" s="61">
        <f t="shared" si="5"/>
        <v>93137.459999999992</v>
      </c>
    </row>
    <row r="11" spans="1:27" x14ac:dyDescent="0.2">
      <c r="A11" t="s">
        <v>8</v>
      </c>
      <c r="B11" s="60">
        <v>946292</v>
      </c>
      <c r="C11" s="61">
        <v>50659.7</v>
      </c>
      <c r="D11" s="62">
        <f t="shared" si="0"/>
        <v>5.3535000000000004</v>
      </c>
      <c r="E11" s="61">
        <v>5741.63</v>
      </c>
      <c r="F11" s="62">
        <f t="shared" si="1"/>
        <v>0.60680000000000001</v>
      </c>
      <c r="G11" s="61">
        <v>24805.67</v>
      </c>
      <c r="H11" s="62">
        <f t="shared" si="2"/>
        <v>2.6214</v>
      </c>
      <c r="I11" s="61">
        <v>5867.26</v>
      </c>
      <c r="J11" s="62">
        <f t="shared" si="3"/>
        <v>0.62</v>
      </c>
      <c r="K11" s="61">
        <v>6065.98</v>
      </c>
      <c r="L11" s="62">
        <f t="shared" si="4"/>
        <v>0.64100000000000001</v>
      </c>
      <c r="M11" s="61">
        <v>-1315.2</v>
      </c>
      <c r="N11" s="61">
        <v>4591.25</v>
      </c>
      <c r="O11" s="61">
        <f t="shared" si="5"/>
        <v>96416.29</v>
      </c>
    </row>
    <row r="12" spans="1:27" x14ac:dyDescent="0.2">
      <c r="A12" s="63" t="s">
        <v>78</v>
      </c>
      <c r="B12" s="64">
        <f>SUM(B6:B11)</f>
        <v>5580788</v>
      </c>
      <c r="C12" s="65">
        <f>SUM(C6:C11)</f>
        <v>299813.83999999997</v>
      </c>
      <c r="D12" s="66">
        <f t="shared" si="0"/>
        <v>5.3722000000000003</v>
      </c>
      <c r="E12" s="65">
        <f>SUM(E6:E11)</f>
        <v>28556.879999999997</v>
      </c>
      <c r="F12" s="66">
        <f t="shared" si="1"/>
        <v>0.51170000000000004</v>
      </c>
      <c r="G12" s="65">
        <f>SUM(G6:G11)</f>
        <v>128307.54</v>
      </c>
      <c r="H12" s="66">
        <f t="shared" si="2"/>
        <v>2.2991000000000001</v>
      </c>
      <c r="I12" s="65">
        <f>SUM(I6:I11)</f>
        <v>34602.39</v>
      </c>
      <c r="J12" s="66">
        <f t="shared" si="3"/>
        <v>0.62</v>
      </c>
      <c r="K12" s="65">
        <f>SUM(K6:K11)</f>
        <v>35774.300000000003</v>
      </c>
      <c r="L12" s="66">
        <f t="shared" si="4"/>
        <v>0.64100000000000001</v>
      </c>
      <c r="M12" s="65">
        <f>SUM(M6:M11)</f>
        <v>-13610.5</v>
      </c>
      <c r="N12" s="65">
        <f>SUM(N6:N11)</f>
        <v>24618.870000000003</v>
      </c>
      <c r="O12" s="65">
        <f>SUM(O6:O11)</f>
        <v>538063.32000000007</v>
      </c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pans="1:27" x14ac:dyDescent="0.2">
      <c r="A13" t="s">
        <v>9</v>
      </c>
      <c r="B13" s="60">
        <v>873002</v>
      </c>
      <c r="C13" s="61">
        <v>38828.57</v>
      </c>
      <c r="D13" s="62">
        <f t="shared" si="0"/>
        <v>4.4477000000000002</v>
      </c>
      <c r="E13" s="61">
        <v>4085.66</v>
      </c>
      <c r="F13" s="62">
        <f t="shared" si="1"/>
        <v>0.46800000000000003</v>
      </c>
      <c r="G13" s="61">
        <v>21964.23</v>
      </c>
      <c r="H13" s="62">
        <f t="shared" si="2"/>
        <v>2.5159000000000002</v>
      </c>
      <c r="I13" s="61">
        <v>5412.86</v>
      </c>
      <c r="J13" s="62">
        <f t="shared" si="3"/>
        <v>0.62</v>
      </c>
      <c r="K13" s="61">
        <v>5596.16</v>
      </c>
      <c r="L13" s="62">
        <f t="shared" si="4"/>
        <v>0.64100000000000001</v>
      </c>
      <c r="M13" s="61">
        <v>-1167</v>
      </c>
      <c r="N13" s="61">
        <v>3736.02</v>
      </c>
      <c r="O13" s="61">
        <f t="shared" si="5"/>
        <v>78456.5</v>
      </c>
    </row>
    <row r="14" spans="1:27" x14ac:dyDescent="0.2">
      <c r="A14" t="s">
        <v>10</v>
      </c>
      <c r="B14" s="60">
        <v>763365</v>
      </c>
      <c r="C14" s="61">
        <v>37662.26</v>
      </c>
      <c r="D14" s="62">
        <f t="shared" si="0"/>
        <v>4.9337</v>
      </c>
      <c r="E14" s="61">
        <v>4687.75</v>
      </c>
      <c r="F14" s="62">
        <f t="shared" si="1"/>
        <v>0.61409999999999998</v>
      </c>
      <c r="G14" s="61">
        <v>14463.91</v>
      </c>
      <c r="H14" s="62">
        <f t="shared" si="2"/>
        <v>1.8948</v>
      </c>
      <c r="I14" s="61">
        <v>4733.12</v>
      </c>
      <c r="J14" s="62">
        <f t="shared" si="3"/>
        <v>0.62</v>
      </c>
      <c r="K14" s="61">
        <v>4893.37</v>
      </c>
      <c r="L14" s="62">
        <f t="shared" si="4"/>
        <v>0.64100000000000001</v>
      </c>
      <c r="M14" s="61">
        <f>-762.6-8297.42</f>
        <v>-9060.02</v>
      </c>
      <c r="N14" s="61">
        <f>3283.89-414.87</f>
        <v>2869.02</v>
      </c>
      <c r="O14" s="61">
        <f t="shared" si="5"/>
        <v>60249.409999999996</v>
      </c>
    </row>
    <row r="15" spans="1:27" x14ac:dyDescent="0.2">
      <c r="A15" t="s">
        <v>11</v>
      </c>
      <c r="B15" s="60">
        <v>773616</v>
      </c>
      <c r="C15" s="61">
        <v>43688.19</v>
      </c>
      <c r="D15" s="62">
        <f t="shared" si="0"/>
        <v>5.6473000000000004</v>
      </c>
      <c r="E15" s="61">
        <v>4142.3</v>
      </c>
      <c r="F15" s="62">
        <f t="shared" si="1"/>
        <v>0.53539999999999999</v>
      </c>
      <c r="G15" s="61">
        <v>14458.01</v>
      </c>
      <c r="H15" s="62">
        <f t="shared" si="2"/>
        <v>1.8689</v>
      </c>
      <c r="I15" s="61">
        <v>4796.67</v>
      </c>
      <c r="J15" s="62">
        <f t="shared" si="3"/>
        <v>0.62</v>
      </c>
      <c r="K15" s="61">
        <v>4959.08</v>
      </c>
      <c r="L15" s="62">
        <f t="shared" si="4"/>
        <v>0.64100000000000001</v>
      </c>
      <c r="M15" s="61">
        <v>-760.8</v>
      </c>
      <c r="N15" s="61">
        <v>3564.17</v>
      </c>
      <c r="O15" s="61">
        <f t="shared" si="5"/>
        <v>74847.62000000001</v>
      </c>
    </row>
    <row r="16" spans="1:27" x14ac:dyDescent="0.2">
      <c r="A16" s="63" t="s">
        <v>79</v>
      </c>
      <c r="B16" s="64">
        <f>+B12+B13+B14+B15</f>
        <v>7990771</v>
      </c>
      <c r="C16" s="65">
        <f>+C12+C13+C14+C15</f>
        <v>419992.86</v>
      </c>
      <c r="D16" s="66">
        <f t="shared" si="0"/>
        <v>5.2560000000000002</v>
      </c>
      <c r="E16" s="65">
        <f>+E12+E13+E14+E15</f>
        <v>41472.589999999997</v>
      </c>
      <c r="F16" s="66">
        <f t="shared" si="1"/>
        <v>0.51900000000000002</v>
      </c>
      <c r="G16" s="65">
        <f>+G12+G13+G14+G15</f>
        <v>179193.69</v>
      </c>
      <c r="H16" s="66">
        <f t="shared" si="2"/>
        <v>2.2425000000000002</v>
      </c>
      <c r="I16" s="65">
        <f>+I12+I13+I14+I15</f>
        <v>49545.04</v>
      </c>
      <c r="J16" s="66">
        <f t="shared" si="3"/>
        <v>0.62</v>
      </c>
      <c r="K16" s="65">
        <f>+K12+K13+K14+K15</f>
        <v>51222.910000000011</v>
      </c>
      <c r="L16" s="66">
        <f t="shared" si="4"/>
        <v>0.64100000000000001</v>
      </c>
      <c r="M16" s="65">
        <f>+M12+M13+M14+M15</f>
        <v>-24598.32</v>
      </c>
      <c r="N16" s="65">
        <f>+N12+N13+N14+N15</f>
        <v>34788.080000000002</v>
      </c>
      <c r="O16" s="65">
        <f>+O12+O13+O14+O15</f>
        <v>751616.85000000009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</row>
    <row r="17" spans="1:27" x14ac:dyDescent="0.2">
      <c r="A17" t="s">
        <v>12</v>
      </c>
      <c r="B17" s="60">
        <v>877814</v>
      </c>
      <c r="C17" s="61">
        <v>42212.36</v>
      </c>
      <c r="D17" s="62">
        <f t="shared" si="0"/>
        <v>4.8087999999999997</v>
      </c>
      <c r="E17" s="61">
        <v>7821.62</v>
      </c>
      <c r="F17" s="62">
        <f t="shared" si="1"/>
        <v>0.8909999999999999</v>
      </c>
      <c r="G17" s="61">
        <v>14491.1</v>
      </c>
      <c r="H17" s="62">
        <f t="shared" si="2"/>
        <v>1.6507999999999998</v>
      </c>
      <c r="I17" s="61">
        <v>5442.7</v>
      </c>
      <c r="J17" s="62">
        <f t="shared" si="3"/>
        <v>0.62</v>
      </c>
      <c r="K17" s="61">
        <v>5627.01</v>
      </c>
      <c r="L17" s="62">
        <f t="shared" si="4"/>
        <v>0.64100000000000001</v>
      </c>
      <c r="M17" s="61">
        <v>-762</v>
      </c>
      <c r="N17" s="61">
        <v>3741.64</v>
      </c>
      <c r="O17" s="61">
        <f t="shared" si="5"/>
        <v>78574.429999999993</v>
      </c>
    </row>
    <row r="18" spans="1:27" x14ac:dyDescent="0.2">
      <c r="A18" t="s">
        <v>13</v>
      </c>
      <c r="B18" s="60">
        <v>750396</v>
      </c>
      <c r="C18" s="61">
        <v>39718.129999999997</v>
      </c>
      <c r="D18" s="62">
        <f t="shared" si="0"/>
        <v>5.2930000000000001</v>
      </c>
      <c r="E18" s="61">
        <v>5866.29</v>
      </c>
      <c r="F18" s="62">
        <f t="shared" si="1"/>
        <v>0.78180000000000005</v>
      </c>
      <c r="G18" s="61">
        <v>5057.28</v>
      </c>
      <c r="H18" s="62">
        <f t="shared" si="2"/>
        <v>0.67390000000000005</v>
      </c>
      <c r="I18" s="61">
        <v>4652.71</v>
      </c>
      <c r="J18" s="62">
        <f t="shared" si="3"/>
        <v>0.62</v>
      </c>
      <c r="K18" s="61">
        <v>5080.05</v>
      </c>
      <c r="L18" s="62">
        <f t="shared" si="4"/>
        <v>0.67700000000000005</v>
      </c>
      <c r="M18" s="61">
        <v>-4191.45</v>
      </c>
      <c r="N18" s="61">
        <f>3018.72-209.57</f>
        <v>2809.1499999999996</v>
      </c>
      <c r="O18" s="61">
        <f t="shared" si="5"/>
        <v>58992.160000000003</v>
      </c>
    </row>
    <row r="19" spans="1:27" x14ac:dyDescent="0.2">
      <c r="A19" t="s">
        <v>14</v>
      </c>
      <c r="B19" s="60">
        <v>758028</v>
      </c>
      <c r="C19" s="61">
        <v>28335.35</v>
      </c>
      <c r="D19" s="62">
        <f t="shared" si="0"/>
        <v>3.7379999999999995</v>
      </c>
      <c r="E19" s="61">
        <v>6075.93</v>
      </c>
      <c r="F19" s="62">
        <f t="shared" si="1"/>
        <v>0.80149999999999999</v>
      </c>
      <c r="G19" s="61">
        <v>5122.16</v>
      </c>
      <c r="H19" s="62">
        <f t="shared" si="2"/>
        <v>0.67569999999999997</v>
      </c>
      <c r="I19" s="61">
        <v>4700.0200000000004</v>
      </c>
      <c r="J19" s="62">
        <f t="shared" si="3"/>
        <v>0.62</v>
      </c>
      <c r="K19" s="61">
        <v>5131.71</v>
      </c>
      <c r="L19" s="62">
        <f t="shared" si="4"/>
        <v>0.67700000000000005</v>
      </c>
      <c r="M19" s="61">
        <v>0</v>
      </c>
      <c r="N19" s="61">
        <v>2468.2600000000002</v>
      </c>
      <c r="O19" s="61">
        <f t="shared" si="5"/>
        <v>51833.430000000008</v>
      </c>
    </row>
    <row r="20" spans="1:27" x14ac:dyDescent="0.2">
      <c r="A20" s="63"/>
      <c r="B20" s="63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x14ac:dyDescent="0.2">
      <c r="A21" s="63" t="s">
        <v>24</v>
      </c>
      <c r="B21" s="67">
        <f>+B16+B17+B18+B19</f>
        <v>10377009</v>
      </c>
      <c r="C21" s="68">
        <f>+C16+C17+C18+C19</f>
        <v>530258.69999999995</v>
      </c>
      <c r="D21" s="66">
        <f>ROUND(C21/B21,6)*100</f>
        <v>5.1098999999999997</v>
      </c>
      <c r="E21" s="68">
        <f>+E16+E17+E18+E19</f>
        <v>61236.43</v>
      </c>
      <c r="F21" s="66">
        <f>ROUND(E21/B21,6)*100</f>
        <v>0.59009999999999996</v>
      </c>
      <c r="G21" s="68">
        <f>+G16+G17+G18+G19</f>
        <v>203864.23</v>
      </c>
      <c r="H21" s="66">
        <f>ROUND(G21/B21,6)*100</f>
        <v>1.9646000000000001</v>
      </c>
      <c r="I21" s="68">
        <f>+I16+I17+I18+I19</f>
        <v>64340.47</v>
      </c>
      <c r="J21" s="66">
        <f>ROUND(I21/B21,6)*100</f>
        <v>0.62</v>
      </c>
      <c r="K21" s="68">
        <f>+K16+K17+K18+K19</f>
        <v>67061.680000000022</v>
      </c>
      <c r="L21" s="66">
        <f>ROUND(K21/B21,6)*100</f>
        <v>0.64629999999999999</v>
      </c>
      <c r="M21" s="68">
        <f>+M16+M17+M18+M19</f>
        <v>-29551.77</v>
      </c>
      <c r="N21" s="68">
        <f>+N16+N17+N18+N19</f>
        <v>43807.130000000005</v>
      </c>
      <c r="O21" s="68">
        <f>+O16+O17+O18+O19</f>
        <v>941016.87000000011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x14ac:dyDescent="0.2"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27" x14ac:dyDescent="0.2"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27" x14ac:dyDescent="0.2"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27" ht="38.25" x14ac:dyDescent="0.2">
      <c r="A25" s="1" t="s">
        <v>57</v>
      </c>
      <c r="B25" s="59" t="s">
        <v>64</v>
      </c>
      <c r="C25" s="59" t="s">
        <v>65</v>
      </c>
      <c r="D25" s="59" t="s">
        <v>66</v>
      </c>
      <c r="E25" s="59" t="s">
        <v>67</v>
      </c>
      <c r="F25" s="59" t="s">
        <v>68</v>
      </c>
      <c r="G25" s="59" t="s">
        <v>69</v>
      </c>
      <c r="H25" s="59" t="s">
        <v>70</v>
      </c>
      <c r="I25" s="59" t="s">
        <v>71</v>
      </c>
      <c r="J25" s="59" t="s">
        <v>72</v>
      </c>
      <c r="K25" s="59" t="s">
        <v>73</v>
      </c>
      <c r="L25" s="59" t="s">
        <v>74</v>
      </c>
      <c r="M25" s="59" t="s">
        <v>75</v>
      </c>
      <c r="N25" s="59" t="s">
        <v>76</v>
      </c>
      <c r="O25" s="59" t="s">
        <v>77</v>
      </c>
    </row>
    <row r="27" spans="1:27" x14ac:dyDescent="0.2">
      <c r="A27" t="s">
        <v>3</v>
      </c>
      <c r="B27" s="60">
        <v>830805</v>
      </c>
      <c r="C27" s="61">
        <v>13045.48</v>
      </c>
      <c r="D27" s="62">
        <f>ROUND(C27/B27,6)*100</f>
        <v>1.5702</v>
      </c>
      <c r="E27" s="61">
        <v>18675.259999999998</v>
      </c>
      <c r="F27" s="62">
        <f>ROUND(E27/B27,6)*100</f>
        <v>2.2479</v>
      </c>
      <c r="G27" s="61">
        <v>5247.41</v>
      </c>
      <c r="H27" s="62">
        <f>ROUND(G27/B27,6)*100</f>
        <v>0.63160000000000005</v>
      </c>
      <c r="I27" s="61">
        <v>5151.24</v>
      </c>
      <c r="J27" s="62">
        <f>ROUND(I27/B27,6)*100</f>
        <v>0.62</v>
      </c>
      <c r="K27" s="61">
        <v>5624.4</v>
      </c>
      <c r="L27" s="62">
        <f>ROUND(K27/B27,6)*100</f>
        <v>0.67700000000000005</v>
      </c>
      <c r="M27" s="61">
        <v>0</v>
      </c>
      <c r="N27" s="61">
        <v>2387.19</v>
      </c>
      <c r="O27" s="61">
        <f>+C27+E27+G27+I27+K27+M27+N27</f>
        <v>50130.979999999996</v>
      </c>
    </row>
    <row r="28" spans="1:27" x14ac:dyDescent="0.2">
      <c r="A28" t="s">
        <v>4</v>
      </c>
      <c r="B28" s="60">
        <v>796834</v>
      </c>
      <c r="C28" s="61">
        <v>26580.18</v>
      </c>
      <c r="D28" s="62">
        <f t="shared" ref="D28:D40" si="6">ROUND(C28/B28,6)*100</f>
        <v>3.3356999999999997</v>
      </c>
      <c r="E28" s="61">
        <v>29485.25</v>
      </c>
      <c r="F28" s="62">
        <f t="shared" ref="F28:F40" si="7">ROUND(E28/B28,6)*100</f>
        <v>3.7002999999999999</v>
      </c>
      <c r="G28" s="61">
        <v>6959.47</v>
      </c>
      <c r="H28" s="62">
        <f t="shared" ref="H28:H40" si="8">ROUND(G28/B28,6)*100</f>
        <v>0.87340000000000007</v>
      </c>
      <c r="I28" s="61">
        <v>4940.62</v>
      </c>
      <c r="J28" s="62">
        <f t="shared" ref="J28:J40" si="9">ROUND(I28/B28,6)*100</f>
        <v>0.62</v>
      </c>
      <c r="K28" s="61">
        <v>5394.42</v>
      </c>
      <c r="L28" s="62">
        <f t="shared" ref="L28:L40" si="10">ROUND(K28/B28,6)*100</f>
        <v>0.67700000000000005</v>
      </c>
      <c r="M28" s="61">
        <v>0</v>
      </c>
      <c r="N28" s="61">
        <v>3668</v>
      </c>
      <c r="O28" s="61">
        <f t="shared" ref="O28:O40" si="11">+C28+E28+G28+I28+K28+M28+N28</f>
        <v>77027.94</v>
      </c>
    </row>
    <row r="29" spans="1:27" x14ac:dyDescent="0.2">
      <c r="A29" t="s">
        <v>5</v>
      </c>
      <c r="B29" s="60">
        <v>835385</v>
      </c>
      <c r="C29" s="61">
        <v>17982.54</v>
      </c>
      <c r="D29" s="62">
        <f t="shared" si="6"/>
        <v>2.1526000000000001</v>
      </c>
      <c r="E29" s="61">
        <v>26386.65</v>
      </c>
      <c r="F29" s="62">
        <f t="shared" si="7"/>
        <v>3.1586000000000003</v>
      </c>
      <c r="G29" s="61">
        <v>8344.83</v>
      </c>
      <c r="H29" s="62">
        <f t="shared" si="8"/>
        <v>0.99890000000000001</v>
      </c>
      <c r="I29" s="61">
        <v>5343.84</v>
      </c>
      <c r="J29" s="62">
        <f t="shared" si="9"/>
        <v>0.63969999999999994</v>
      </c>
      <c r="K29" s="61">
        <v>5655.41</v>
      </c>
      <c r="L29" s="62">
        <f t="shared" si="10"/>
        <v>0.67700000000000005</v>
      </c>
      <c r="M29" s="61">
        <v>-3767.34</v>
      </c>
      <c r="N29" s="61">
        <f>3185.66-188.37</f>
        <v>2997.29</v>
      </c>
      <c r="O29" s="61">
        <f t="shared" si="11"/>
        <v>62943.220000000008</v>
      </c>
    </row>
    <row r="30" spans="1:27" x14ac:dyDescent="0.2">
      <c r="A30" t="s">
        <v>6</v>
      </c>
      <c r="B30" s="60">
        <v>1090266</v>
      </c>
      <c r="C30" s="61">
        <v>67064.31</v>
      </c>
      <c r="D30" s="62">
        <f t="shared" si="6"/>
        <v>6.1511999999999993</v>
      </c>
      <c r="E30" s="61">
        <v>5298.14</v>
      </c>
      <c r="F30" s="62">
        <f t="shared" si="7"/>
        <v>0.48589999999999994</v>
      </c>
      <c r="G30" s="61">
        <v>23400.22</v>
      </c>
      <c r="H30" s="62">
        <f t="shared" si="8"/>
        <v>2.1463000000000001</v>
      </c>
      <c r="I30" s="61">
        <v>6872.97</v>
      </c>
      <c r="J30" s="62">
        <f t="shared" si="9"/>
        <v>0.63039999999999996</v>
      </c>
      <c r="K30" s="61">
        <v>7105.79</v>
      </c>
      <c r="L30" s="62">
        <f t="shared" si="10"/>
        <v>0.65170000000000006</v>
      </c>
      <c r="M30" s="61">
        <v>-1244.4000000000001</v>
      </c>
      <c r="N30" s="61">
        <v>5424.85</v>
      </c>
      <c r="O30" s="61">
        <f t="shared" si="11"/>
        <v>113921.88</v>
      </c>
    </row>
    <row r="31" spans="1:27" x14ac:dyDescent="0.2">
      <c r="A31" t="s">
        <v>7</v>
      </c>
      <c r="B31" s="60">
        <v>1051544</v>
      </c>
      <c r="C31" s="61">
        <v>28595.06</v>
      </c>
      <c r="D31" s="62">
        <f t="shared" si="6"/>
        <v>2.7193000000000001</v>
      </c>
      <c r="E31" s="61">
        <v>42507.43</v>
      </c>
      <c r="F31" s="62">
        <f t="shared" si="7"/>
        <v>4.0423999999999998</v>
      </c>
      <c r="G31" s="61">
        <v>9389.67</v>
      </c>
      <c r="H31" s="62">
        <f t="shared" si="8"/>
        <v>0.89289999999999992</v>
      </c>
      <c r="I31" s="61">
        <v>6835.28</v>
      </c>
      <c r="J31" s="62">
        <f t="shared" si="9"/>
        <v>0.65</v>
      </c>
      <c r="K31" s="61">
        <v>7118.76</v>
      </c>
      <c r="L31" s="62">
        <f t="shared" si="10"/>
        <v>0.67700000000000005</v>
      </c>
      <c r="M31" s="61">
        <v>0</v>
      </c>
      <c r="N31" s="61">
        <v>4722.3100000000004</v>
      </c>
      <c r="O31" s="61">
        <f t="shared" si="11"/>
        <v>99168.51</v>
      </c>
    </row>
    <row r="32" spans="1:27" x14ac:dyDescent="0.2">
      <c r="A32" t="s">
        <v>8</v>
      </c>
      <c r="B32" s="60">
        <v>857404</v>
      </c>
      <c r="C32" s="61">
        <v>18769.099999999999</v>
      </c>
      <c r="D32" s="62">
        <f t="shared" si="6"/>
        <v>2.1891000000000003</v>
      </c>
      <c r="E32" s="61">
        <v>31267.98</v>
      </c>
      <c r="F32" s="62">
        <f t="shared" si="7"/>
        <v>3.6467999999999998</v>
      </c>
      <c r="G32" s="61">
        <v>7480.86</v>
      </c>
      <c r="H32" s="62">
        <f t="shared" si="8"/>
        <v>0.87250000000000005</v>
      </c>
      <c r="I32" s="61">
        <v>5573.38</v>
      </c>
      <c r="J32" s="62">
        <f t="shared" si="9"/>
        <v>0.65</v>
      </c>
      <c r="K32" s="61">
        <v>5804.48</v>
      </c>
      <c r="L32" s="62">
        <f t="shared" si="10"/>
        <v>0.67700000000000005</v>
      </c>
      <c r="M32" s="61">
        <v>0</v>
      </c>
      <c r="N32" s="61">
        <v>3444.79</v>
      </c>
      <c r="O32" s="61">
        <f t="shared" si="11"/>
        <v>72340.59</v>
      </c>
    </row>
    <row r="33" spans="1:30" x14ac:dyDescent="0.2">
      <c r="A33" s="63" t="s">
        <v>78</v>
      </c>
      <c r="B33" s="64">
        <f>SUM(B27:B32)</f>
        <v>5462238</v>
      </c>
      <c r="C33" s="65">
        <f>SUM(C27:C32)</f>
        <v>172036.67</v>
      </c>
      <c r="D33" s="66">
        <f t="shared" si="6"/>
        <v>3.1496000000000004</v>
      </c>
      <c r="E33" s="65">
        <f>SUM(E27:E32)</f>
        <v>153620.71000000002</v>
      </c>
      <c r="F33" s="66">
        <f t="shared" si="7"/>
        <v>2.8123999999999998</v>
      </c>
      <c r="G33" s="65">
        <f>SUM(G27:G32)</f>
        <v>60822.46</v>
      </c>
      <c r="H33" s="66">
        <f t="shared" si="8"/>
        <v>1.1135000000000002</v>
      </c>
      <c r="I33" s="65">
        <f>SUM(I27:I32)</f>
        <v>34717.33</v>
      </c>
      <c r="J33" s="66">
        <f t="shared" si="9"/>
        <v>0.63559999999999994</v>
      </c>
      <c r="K33" s="65">
        <f>SUM(K27:K32)</f>
        <v>36703.259999999995</v>
      </c>
      <c r="L33" s="66">
        <f t="shared" si="10"/>
        <v>0.67190000000000005</v>
      </c>
      <c r="M33" s="65">
        <f>SUM(M27:M32)</f>
        <v>-5011.74</v>
      </c>
      <c r="N33" s="65">
        <f>SUM(N27:N32)</f>
        <v>22644.43</v>
      </c>
      <c r="O33" s="65">
        <f>SUM(O27:O32)</f>
        <v>475533.12</v>
      </c>
      <c r="P33" s="63"/>
      <c r="Q33" s="63"/>
      <c r="R33" s="63"/>
      <c r="S33" s="63"/>
      <c r="T33" s="63"/>
      <c r="U33" s="63"/>
      <c r="V33" s="63"/>
      <c r="W33" s="63"/>
      <c r="X33" s="63"/>
    </row>
    <row r="34" spans="1:30" x14ac:dyDescent="0.2">
      <c r="A34" t="s">
        <v>9</v>
      </c>
      <c r="B34" s="60">
        <v>623960</v>
      </c>
      <c r="C34" s="61">
        <v>17355.25</v>
      </c>
      <c r="D34" s="62">
        <f t="shared" si="6"/>
        <v>2.7814999999999999</v>
      </c>
      <c r="E34" s="61">
        <v>24195.06</v>
      </c>
      <c r="F34" s="62">
        <f t="shared" si="7"/>
        <v>3.8776999999999999</v>
      </c>
      <c r="G34" s="61">
        <v>6727.93</v>
      </c>
      <c r="H34" s="62">
        <f t="shared" si="8"/>
        <v>1.0782999999999998</v>
      </c>
      <c r="I34" s="61">
        <v>4055.99</v>
      </c>
      <c r="J34" s="62">
        <f t="shared" si="9"/>
        <v>0.65</v>
      </c>
      <c r="K34" s="61">
        <v>4224.1000000000004</v>
      </c>
      <c r="L34" s="62">
        <f t="shared" si="10"/>
        <v>0.67700000000000005</v>
      </c>
      <c r="M34" s="61">
        <v>0</v>
      </c>
      <c r="N34" s="61">
        <v>2827.92</v>
      </c>
      <c r="O34" s="61">
        <f t="shared" si="11"/>
        <v>59386.249999999993</v>
      </c>
    </row>
    <row r="35" spans="1:30" x14ac:dyDescent="0.2">
      <c r="A35" t="s">
        <v>10</v>
      </c>
      <c r="B35" s="60">
        <v>599283</v>
      </c>
      <c r="C35" s="61">
        <v>17299.419999999998</v>
      </c>
      <c r="D35" s="62">
        <f t="shared" si="6"/>
        <v>2.8866999999999998</v>
      </c>
      <c r="E35" s="61">
        <v>21469.17</v>
      </c>
      <c r="F35" s="62">
        <f t="shared" si="7"/>
        <v>3.5825000000000005</v>
      </c>
      <c r="G35" s="61">
        <v>4920.7700000000004</v>
      </c>
      <c r="H35" s="62">
        <f t="shared" si="8"/>
        <v>0.82109999999999994</v>
      </c>
      <c r="I35" s="61">
        <v>3895.59</v>
      </c>
      <c r="J35" s="62">
        <f t="shared" si="9"/>
        <v>0.65</v>
      </c>
      <c r="K35" s="61">
        <v>4057.04</v>
      </c>
      <c r="L35" s="62">
        <f t="shared" si="10"/>
        <v>0.67700000000000005</v>
      </c>
      <c r="M35" s="61">
        <v>0</v>
      </c>
      <c r="N35" s="61">
        <v>2582.1</v>
      </c>
      <c r="O35" s="61">
        <f t="shared" si="11"/>
        <v>54224.09</v>
      </c>
    </row>
    <row r="36" spans="1:30" x14ac:dyDescent="0.2">
      <c r="A36" t="s">
        <v>11</v>
      </c>
      <c r="B36" s="60">
        <v>625031</v>
      </c>
      <c r="C36" s="61">
        <v>21495.08</v>
      </c>
      <c r="D36" s="62">
        <f t="shared" si="6"/>
        <v>3.4389999999999996</v>
      </c>
      <c r="E36" s="61">
        <v>22587.35</v>
      </c>
      <c r="F36" s="62">
        <f t="shared" si="7"/>
        <v>3.6138000000000003</v>
      </c>
      <c r="G36" s="61">
        <v>5052.79</v>
      </c>
      <c r="H36" s="62">
        <f t="shared" si="8"/>
        <v>0.8083999999999999</v>
      </c>
      <c r="I36" s="61">
        <v>4062.95</v>
      </c>
      <c r="J36" s="62">
        <f t="shared" si="9"/>
        <v>0.65</v>
      </c>
      <c r="K36" s="61">
        <v>4231.3500000000004</v>
      </c>
      <c r="L36" s="62">
        <f t="shared" si="10"/>
        <v>0.67700000000000005</v>
      </c>
      <c r="M36" s="61">
        <v>0</v>
      </c>
      <c r="N36" s="61">
        <v>2871.48</v>
      </c>
      <c r="O36" s="61">
        <f t="shared" si="11"/>
        <v>60301</v>
      </c>
    </row>
    <row r="37" spans="1:30" x14ac:dyDescent="0.2">
      <c r="A37" s="63" t="s">
        <v>79</v>
      </c>
      <c r="B37" s="64">
        <f>+B33+B34+B35+B36</f>
        <v>7310512</v>
      </c>
      <c r="C37" s="65">
        <f>+C33+C34+C35+C36</f>
        <v>228186.42000000004</v>
      </c>
      <c r="D37" s="66">
        <f t="shared" si="6"/>
        <v>3.1213000000000002</v>
      </c>
      <c r="E37" s="65">
        <f>+E33+E34+E35+E36</f>
        <v>221872.29</v>
      </c>
      <c r="F37" s="66">
        <f t="shared" si="7"/>
        <v>3.0349999999999997</v>
      </c>
      <c r="G37" s="65">
        <f>+G33+G34+G35+G36</f>
        <v>77523.95</v>
      </c>
      <c r="H37" s="66">
        <f t="shared" si="8"/>
        <v>1.0604</v>
      </c>
      <c r="I37" s="65">
        <f>+I33+I34+I35+I36</f>
        <v>46731.86</v>
      </c>
      <c r="J37" s="66">
        <f t="shared" si="9"/>
        <v>0.63919999999999999</v>
      </c>
      <c r="K37" s="65">
        <f>+K33+K34+K35+K36</f>
        <v>49215.749999999993</v>
      </c>
      <c r="L37" s="66">
        <f t="shared" si="10"/>
        <v>0.67320000000000002</v>
      </c>
      <c r="M37" s="65">
        <f>+M33+M34+M35+M36</f>
        <v>-5011.74</v>
      </c>
      <c r="N37" s="65">
        <f>+N33+N34+N35+N36</f>
        <v>30925.929999999997</v>
      </c>
      <c r="O37" s="65">
        <f>+O33+O34+O35+O36</f>
        <v>649444.46</v>
      </c>
      <c r="P37" s="63"/>
      <c r="Q37" s="63"/>
      <c r="R37" s="63"/>
      <c r="S37" s="63"/>
      <c r="T37" s="63"/>
      <c r="U37" s="63"/>
      <c r="V37" s="63"/>
      <c r="W37" s="63"/>
      <c r="X37" s="63"/>
    </row>
    <row r="38" spans="1:30" x14ac:dyDescent="0.2">
      <c r="A38" t="s">
        <v>12</v>
      </c>
      <c r="B38" s="60">
        <v>687148</v>
      </c>
      <c r="C38" s="61">
        <v>24743.62</v>
      </c>
      <c r="D38" s="62">
        <f t="shared" si="6"/>
        <v>3.6008999999999998</v>
      </c>
      <c r="E38" s="61">
        <v>22822.19</v>
      </c>
      <c r="F38" s="62">
        <f t="shared" si="7"/>
        <v>3.3212999999999999</v>
      </c>
      <c r="G38" s="61">
        <v>5045.41</v>
      </c>
      <c r="H38" s="62">
        <f t="shared" si="8"/>
        <v>0.73429999999999995</v>
      </c>
      <c r="I38" s="61">
        <v>4466.71</v>
      </c>
      <c r="J38" s="62">
        <f t="shared" si="9"/>
        <v>0.65</v>
      </c>
      <c r="K38" s="61">
        <v>4651.87</v>
      </c>
      <c r="L38" s="62">
        <f t="shared" si="10"/>
        <v>0.67700000000000005</v>
      </c>
      <c r="M38" s="61">
        <v>0</v>
      </c>
      <c r="N38" s="61">
        <v>3086.49</v>
      </c>
      <c r="O38" s="61">
        <f t="shared" si="11"/>
        <v>64816.29</v>
      </c>
    </row>
    <row r="39" spans="1:30" x14ac:dyDescent="0.2">
      <c r="A39" t="s">
        <v>13</v>
      </c>
      <c r="B39" s="60">
        <v>632474</v>
      </c>
      <c r="C39" s="61">
        <v>23214.31</v>
      </c>
      <c r="D39" s="62">
        <f t="shared" si="6"/>
        <v>3.6703999999999999</v>
      </c>
      <c r="E39" s="61">
        <v>20029.27</v>
      </c>
      <c r="F39" s="62">
        <f t="shared" si="7"/>
        <v>3.1668000000000003</v>
      </c>
      <c r="G39" s="61">
        <v>4976.13</v>
      </c>
      <c r="H39" s="62">
        <f t="shared" si="8"/>
        <v>0.78679999999999994</v>
      </c>
      <c r="I39" s="61">
        <v>4111.33</v>
      </c>
      <c r="J39" s="62">
        <f t="shared" si="9"/>
        <v>0.65</v>
      </c>
      <c r="K39" s="61">
        <v>4281.74</v>
      </c>
      <c r="L39" s="62">
        <f t="shared" si="10"/>
        <v>0.67700000000000005</v>
      </c>
      <c r="M39" s="61">
        <v>0</v>
      </c>
      <c r="N39" s="61">
        <v>2830.64</v>
      </c>
      <c r="O39" s="61">
        <f t="shared" si="11"/>
        <v>59443.42</v>
      </c>
    </row>
    <row r="40" spans="1:30" x14ac:dyDescent="0.2">
      <c r="A40" t="s">
        <v>14</v>
      </c>
      <c r="B40" s="60">
        <v>606417</v>
      </c>
      <c r="C40" s="61">
        <v>19008.669999999998</v>
      </c>
      <c r="D40" s="62">
        <f t="shared" si="6"/>
        <v>3.1345999999999998</v>
      </c>
      <c r="E40" s="61">
        <v>17301.41</v>
      </c>
      <c r="F40" s="62">
        <f t="shared" si="7"/>
        <v>2.8531</v>
      </c>
      <c r="G40" s="61">
        <v>5052.79</v>
      </c>
      <c r="H40" s="62">
        <f t="shared" si="8"/>
        <v>0.83320000000000005</v>
      </c>
      <c r="I40" s="61">
        <v>3941.95</v>
      </c>
      <c r="J40" s="62">
        <f t="shared" si="9"/>
        <v>0.65</v>
      </c>
      <c r="K40" s="61">
        <v>4105.33</v>
      </c>
      <c r="L40" s="62">
        <f t="shared" si="10"/>
        <v>0.67700000000000005</v>
      </c>
      <c r="M40" s="61">
        <v>0</v>
      </c>
      <c r="N40" s="61">
        <v>2470.5100000000002</v>
      </c>
      <c r="O40" s="61">
        <f t="shared" si="11"/>
        <v>51880.66</v>
      </c>
    </row>
    <row r="41" spans="1:30" x14ac:dyDescent="0.2"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30" x14ac:dyDescent="0.2">
      <c r="A42" s="63" t="s">
        <v>24</v>
      </c>
      <c r="B42" s="67">
        <f>+B37+B38+B39+B40</f>
        <v>9236551</v>
      </c>
      <c r="C42" s="68">
        <f>+C37+C38+C39+C40</f>
        <v>295153.02</v>
      </c>
      <c r="D42" s="66">
        <f>ROUND(C42/B42,6)*100</f>
        <v>3.1954999999999996</v>
      </c>
      <c r="E42" s="68">
        <f>+E37+E38+E39+E40</f>
        <v>282025.15999999997</v>
      </c>
      <c r="F42" s="66">
        <f>ROUND(E42/B42,6)*100</f>
        <v>3.0533999999999999</v>
      </c>
      <c r="G42" s="68">
        <f>+G37+G38+G39+G40</f>
        <v>92598.28</v>
      </c>
      <c r="H42" s="66">
        <f>ROUND(G42/B42,6)*100</f>
        <v>1.0024999999999999</v>
      </c>
      <c r="I42" s="68">
        <f>+I37+I38+I39+I40</f>
        <v>59251.85</v>
      </c>
      <c r="J42" s="66">
        <f>ROUND(I42/B42,6)*100</f>
        <v>0.64149999999999996</v>
      </c>
      <c r="K42" s="68">
        <f>+K37+K38+K39+K40</f>
        <v>62254.689999999995</v>
      </c>
      <c r="L42" s="66">
        <f>ROUND(K42/B42,6)*100</f>
        <v>0.67400000000000004</v>
      </c>
      <c r="M42" s="68">
        <f>+M37+M38+M39+M40</f>
        <v>-5011.74</v>
      </c>
      <c r="N42" s="68">
        <f>+N37+N38+N39+N40</f>
        <v>39313.57</v>
      </c>
      <c r="O42" s="68">
        <f>+O37+O38+O39+O40</f>
        <v>825584.83000000007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6" spans="1:30" ht="38.25" x14ac:dyDescent="0.2">
      <c r="A46" s="1" t="s">
        <v>61</v>
      </c>
      <c r="B46" s="59" t="s">
        <v>64</v>
      </c>
      <c r="C46" s="59" t="s">
        <v>65</v>
      </c>
      <c r="D46" s="59" t="s">
        <v>66</v>
      </c>
      <c r="E46" s="59" t="s">
        <v>67</v>
      </c>
      <c r="F46" s="59" t="s">
        <v>68</v>
      </c>
      <c r="G46" s="59" t="s">
        <v>69</v>
      </c>
      <c r="H46" s="59" t="s">
        <v>70</v>
      </c>
      <c r="I46" s="59" t="s">
        <v>71</v>
      </c>
      <c r="J46" s="59" t="s">
        <v>72</v>
      </c>
      <c r="K46" s="59" t="s">
        <v>73</v>
      </c>
      <c r="L46" s="59" t="s">
        <v>74</v>
      </c>
      <c r="M46" s="59" t="s">
        <v>75</v>
      </c>
      <c r="N46" s="59" t="s">
        <v>76</v>
      </c>
      <c r="O46" s="59" t="s">
        <v>77</v>
      </c>
    </row>
    <row r="48" spans="1:30" x14ac:dyDescent="0.2">
      <c r="A48" t="s">
        <v>3</v>
      </c>
      <c r="B48" s="60">
        <v>704955</v>
      </c>
      <c r="C48" s="61">
        <v>20819.3</v>
      </c>
      <c r="D48" s="62">
        <f>ROUND(C48/B48,6)*100</f>
        <v>2.9533</v>
      </c>
      <c r="E48" s="61">
        <v>27351.360000000001</v>
      </c>
      <c r="F48" s="62">
        <f>ROUND(E48/B48,6)*100</f>
        <v>3.8799000000000001</v>
      </c>
      <c r="G48" s="61">
        <v>6297.93</v>
      </c>
      <c r="H48" s="62">
        <f>ROUND(G48/B48,6)*100</f>
        <v>0.89339999999999997</v>
      </c>
      <c r="I48" s="61">
        <v>4582.46</v>
      </c>
      <c r="J48" s="62">
        <f>ROUND(I48/B48,6)*100</f>
        <v>0.65</v>
      </c>
      <c r="K48" s="61">
        <v>4772.42</v>
      </c>
      <c r="L48" s="62">
        <f>ROUND(K48/B48,6)*100</f>
        <v>0.67700000000000005</v>
      </c>
      <c r="M48" s="61">
        <v>0</v>
      </c>
      <c r="N48" s="61">
        <v>3191.17</v>
      </c>
      <c r="O48" s="61">
        <f>+C48+E48+G48+I48+K48+M48+N48</f>
        <v>67014.64</v>
      </c>
    </row>
    <row r="49" spans="1:32" x14ac:dyDescent="0.2">
      <c r="A49" t="s">
        <v>4</v>
      </c>
      <c r="B49" s="60">
        <v>641990</v>
      </c>
      <c r="C49" s="61">
        <v>23329.11</v>
      </c>
      <c r="D49" s="62">
        <f t="shared" ref="D49:D61" si="12">ROUND(C49/B49,6)*100</f>
        <v>3.6339000000000001</v>
      </c>
      <c r="E49" s="61">
        <v>24086</v>
      </c>
      <c r="F49" s="62">
        <f t="shared" ref="F49:F61" si="13">ROUND(E49/B49,6)*100</f>
        <v>3.7518000000000002</v>
      </c>
      <c r="G49" s="61">
        <v>7496.34</v>
      </c>
      <c r="H49" s="62">
        <f t="shared" ref="H49:H61" si="14">ROUND(G49/B49,6)*100</f>
        <v>1.1677</v>
      </c>
      <c r="I49" s="61">
        <v>4338.33</v>
      </c>
      <c r="J49" s="62">
        <f t="shared" ref="J49:J61" si="15">ROUND(I49/B49,6)*100</f>
        <v>0.67579999999999996</v>
      </c>
      <c r="K49" s="61">
        <v>4346.16</v>
      </c>
      <c r="L49" s="62">
        <f t="shared" ref="L49:L61" si="16">ROUND(K49/B49,6)*100</f>
        <v>0.67700000000000005</v>
      </c>
      <c r="M49" s="61">
        <v>0</v>
      </c>
      <c r="N49" s="61">
        <v>3179.8</v>
      </c>
      <c r="O49" s="61">
        <f t="shared" ref="O49:O61" si="17">+C49+E49+G49+I49+K49+M49+N49</f>
        <v>66775.740000000005</v>
      </c>
    </row>
    <row r="50" spans="1:32" x14ac:dyDescent="0.2">
      <c r="A50" t="s">
        <v>5</v>
      </c>
      <c r="B50" s="60">
        <v>828718</v>
      </c>
      <c r="C50" s="61">
        <v>36541.15</v>
      </c>
      <c r="D50" s="62">
        <f t="shared" si="12"/>
        <v>4.4093999999999998</v>
      </c>
      <c r="E50" s="61">
        <v>22493.439999999999</v>
      </c>
      <c r="F50" s="62">
        <f t="shared" si="13"/>
        <v>2.7141999999999999</v>
      </c>
      <c r="G50" s="61">
        <v>9395.2900000000009</v>
      </c>
      <c r="H50" s="62">
        <f t="shared" si="14"/>
        <v>1.1336999999999999</v>
      </c>
      <c r="I50" s="61">
        <v>5696.03</v>
      </c>
      <c r="J50" s="62">
        <f t="shared" si="15"/>
        <v>0.68730000000000002</v>
      </c>
      <c r="K50" s="61">
        <v>5610.28</v>
      </c>
      <c r="L50" s="62">
        <f t="shared" si="16"/>
        <v>0.67700000000000005</v>
      </c>
      <c r="M50" s="61">
        <v>0</v>
      </c>
      <c r="N50" s="61">
        <v>3986.81</v>
      </c>
      <c r="O50" s="61">
        <f t="shared" si="17"/>
        <v>83723</v>
      </c>
    </row>
    <row r="51" spans="1:32" x14ac:dyDescent="0.2">
      <c r="A51" t="s">
        <v>6</v>
      </c>
      <c r="B51" s="60">
        <v>850646</v>
      </c>
      <c r="C51" s="61">
        <v>44590.2</v>
      </c>
      <c r="D51" s="62">
        <f t="shared" si="12"/>
        <v>5.2419000000000002</v>
      </c>
      <c r="E51" s="61">
        <v>20827.009999999998</v>
      </c>
      <c r="F51" s="62">
        <f t="shared" si="13"/>
        <v>2.4483999999999999</v>
      </c>
      <c r="G51" s="61">
        <v>8138.41</v>
      </c>
      <c r="H51" s="62">
        <f t="shared" si="14"/>
        <v>0.95670000000000011</v>
      </c>
      <c r="I51" s="61">
        <v>5846.74</v>
      </c>
      <c r="J51" s="62">
        <f t="shared" si="15"/>
        <v>0.68730000000000002</v>
      </c>
      <c r="K51" s="61">
        <v>5758.73</v>
      </c>
      <c r="L51" s="62">
        <f t="shared" si="16"/>
        <v>0.67700000000000005</v>
      </c>
      <c r="M51" s="61">
        <v>0</v>
      </c>
      <c r="N51" s="61">
        <f>1135.48+8118.69</f>
        <v>9254.17</v>
      </c>
      <c r="O51" s="61">
        <f t="shared" si="17"/>
        <v>94415.26</v>
      </c>
    </row>
    <row r="52" spans="1:32" x14ac:dyDescent="0.2">
      <c r="A52" t="s">
        <v>7</v>
      </c>
      <c r="B52" s="60">
        <v>811598</v>
      </c>
      <c r="C52" s="61">
        <v>43145.18</v>
      </c>
      <c r="D52" s="62">
        <f t="shared" si="12"/>
        <v>5.3160999999999996</v>
      </c>
      <c r="E52" s="61">
        <v>10566.68</v>
      </c>
      <c r="F52" s="62">
        <f t="shared" si="13"/>
        <v>1.302</v>
      </c>
      <c r="G52" s="61">
        <v>8161.66</v>
      </c>
      <c r="H52" s="62">
        <f t="shared" si="14"/>
        <v>1.0056</v>
      </c>
      <c r="I52" s="61">
        <v>5578.36</v>
      </c>
      <c r="J52" s="62">
        <f t="shared" si="15"/>
        <v>0.68730000000000002</v>
      </c>
      <c r="K52" s="61">
        <v>5494.38</v>
      </c>
      <c r="L52" s="62">
        <f t="shared" si="16"/>
        <v>0.67700000000000005</v>
      </c>
      <c r="M52" s="61">
        <v>0</v>
      </c>
      <c r="N52" s="61">
        <v>9483.01</v>
      </c>
      <c r="O52" s="61">
        <f t="shared" si="17"/>
        <v>82429.27</v>
      </c>
    </row>
    <row r="53" spans="1:32" x14ac:dyDescent="0.2">
      <c r="A53" t="s">
        <v>8</v>
      </c>
      <c r="B53" s="60">
        <v>799274</v>
      </c>
      <c r="C53" s="61">
        <v>29708.42</v>
      </c>
      <c r="D53" s="62">
        <f t="shared" si="12"/>
        <v>3.7168999999999999</v>
      </c>
      <c r="E53" s="61">
        <v>8933.52</v>
      </c>
      <c r="F53" s="62">
        <f t="shared" si="13"/>
        <v>1.1176999999999999</v>
      </c>
      <c r="G53" s="61">
        <v>9113.26</v>
      </c>
      <c r="H53" s="62">
        <f t="shared" si="14"/>
        <v>1.1402000000000001</v>
      </c>
      <c r="I53" s="61">
        <v>5493.66</v>
      </c>
      <c r="J53" s="62">
        <f t="shared" si="15"/>
        <v>0.68730000000000002</v>
      </c>
      <c r="K53" s="61">
        <v>5410.94</v>
      </c>
      <c r="L53" s="62">
        <f t="shared" si="16"/>
        <v>0.67700000000000005</v>
      </c>
      <c r="M53" s="61">
        <v>0</v>
      </c>
      <c r="N53" s="61">
        <v>7625.77</v>
      </c>
      <c r="O53" s="61">
        <f t="shared" si="17"/>
        <v>66285.570000000007</v>
      </c>
    </row>
    <row r="54" spans="1:32" x14ac:dyDescent="0.2">
      <c r="A54" s="63" t="s">
        <v>78</v>
      </c>
      <c r="B54" s="64">
        <f>SUM(B48:B53)</f>
        <v>4637181</v>
      </c>
      <c r="C54" s="65">
        <f>SUM(C48:C53)</f>
        <v>198133.36</v>
      </c>
      <c r="D54" s="66">
        <f t="shared" si="12"/>
        <v>4.2727000000000004</v>
      </c>
      <c r="E54" s="65">
        <f>SUM(E48:E53)</f>
        <v>114258.01</v>
      </c>
      <c r="F54" s="66">
        <f t="shared" si="13"/>
        <v>2.464</v>
      </c>
      <c r="G54" s="65">
        <f>SUM(G48:G53)</f>
        <v>48602.890000000007</v>
      </c>
      <c r="H54" s="66">
        <f t="shared" si="14"/>
        <v>1.0481</v>
      </c>
      <c r="I54" s="65">
        <f>SUM(I48:I53)</f>
        <v>31535.579999999998</v>
      </c>
      <c r="J54" s="66">
        <f t="shared" si="15"/>
        <v>0.68009999999999993</v>
      </c>
      <c r="K54" s="65">
        <f>SUM(K48:K53)</f>
        <v>31392.91</v>
      </c>
      <c r="L54" s="66">
        <f t="shared" si="16"/>
        <v>0.67700000000000005</v>
      </c>
      <c r="M54" s="65">
        <f>SUM(M48:M53)</f>
        <v>0</v>
      </c>
      <c r="N54" s="65">
        <f>SUM(N48:N53)</f>
        <v>36720.729999999996</v>
      </c>
      <c r="O54" s="65">
        <f>SUM(O48:O53)</f>
        <v>460643.48000000004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</row>
    <row r="55" spans="1:32" x14ac:dyDescent="0.2">
      <c r="A55" t="s">
        <v>9</v>
      </c>
      <c r="B55" s="60">
        <v>0</v>
      </c>
      <c r="C55" s="61">
        <v>0</v>
      </c>
      <c r="D55" s="62" t="e">
        <f t="shared" si="12"/>
        <v>#DIV/0!</v>
      </c>
      <c r="E55" s="61">
        <v>0</v>
      </c>
      <c r="F55" s="62" t="e">
        <f t="shared" si="13"/>
        <v>#DIV/0!</v>
      </c>
      <c r="G55" s="61">
        <v>0</v>
      </c>
      <c r="H55" s="62" t="e">
        <f t="shared" si="14"/>
        <v>#DIV/0!</v>
      </c>
      <c r="I55" s="61">
        <v>0</v>
      </c>
      <c r="J55" s="62" t="e">
        <f t="shared" si="15"/>
        <v>#DIV/0!</v>
      </c>
      <c r="K55" s="61">
        <v>0</v>
      </c>
      <c r="L55" s="62" t="e">
        <f t="shared" si="16"/>
        <v>#DIV/0!</v>
      </c>
      <c r="M55" s="61">
        <v>0</v>
      </c>
      <c r="N55" s="61">
        <v>0</v>
      </c>
      <c r="O55" s="61">
        <f t="shared" si="17"/>
        <v>0</v>
      </c>
    </row>
    <row r="56" spans="1:32" x14ac:dyDescent="0.2">
      <c r="A56" t="s">
        <v>10</v>
      </c>
      <c r="B56" s="60">
        <v>0</v>
      </c>
      <c r="C56" s="61">
        <v>0</v>
      </c>
      <c r="D56" s="62" t="e">
        <f t="shared" si="12"/>
        <v>#DIV/0!</v>
      </c>
      <c r="E56" s="61">
        <v>0</v>
      </c>
      <c r="F56" s="62" t="e">
        <f t="shared" si="13"/>
        <v>#DIV/0!</v>
      </c>
      <c r="G56" s="61">
        <v>0</v>
      </c>
      <c r="H56" s="62" t="e">
        <f t="shared" si="14"/>
        <v>#DIV/0!</v>
      </c>
      <c r="I56" s="61">
        <v>0</v>
      </c>
      <c r="J56" s="62" t="e">
        <f t="shared" si="15"/>
        <v>#DIV/0!</v>
      </c>
      <c r="K56" s="61">
        <v>0</v>
      </c>
      <c r="L56" s="62" t="e">
        <f t="shared" si="16"/>
        <v>#DIV/0!</v>
      </c>
      <c r="M56" s="61">
        <v>0</v>
      </c>
      <c r="N56" s="61">
        <v>0</v>
      </c>
      <c r="O56" s="61">
        <f t="shared" si="17"/>
        <v>0</v>
      </c>
    </row>
    <row r="57" spans="1:32" x14ac:dyDescent="0.2">
      <c r="A57" t="s">
        <v>11</v>
      </c>
      <c r="B57" s="60">
        <v>0</v>
      </c>
      <c r="C57" s="61">
        <v>0</v>
      </c>
      <c r="D57" s="62" t="e">
        <f t="shared" si="12"/>
        <v>#DIV/0!</v>
      </c>
      <c r="E57" s="61">
        <v>0</v>
      </c>
      <c r="F57" s="62" t="e">
        <f t="shared" si="13"/>
        <v>#DIV/0!</v>
      </c>
      <c r="G57" s="61">
        <v>0</v>
      </c>
      <c r="H57" s="62" t="e">
        <f t="shared" si="14"/>
        <v>#DIV/0!</v>
      </c>
      <c r="I57" s="61">
        <v>0</v>
      </c>
      <c r="J57" s="62" t="e">
        <f t="shared" si="15"/>
        <v>#DIV/0!</v>
      </c>
      <c r="K57" s="61">
        <v>0</v>
      </c>
      <c r="L57" s="62" t="e">
        <f t="shared" si="16"/>
        <v>#DIV/0!</v>
      </c>
      <c r="M57" s="61">
        <v>0</v>
      </c>
      <c r="N57" s="61">
        <v>0</v>
      </c>
      <c r="O57" s="61">
        <f t="shared" si="17"/>
        <v>0</v>
      </c>
    </row>
    <row r="58" spans="1:32" x14ac:dyDescent="0.2">
      <c r="A58" s="63" t="s">
        <v>79</v>
      </c>
      <c r="B58" s="64">
        <f>+B54+B55+B56+B57</f>
        <v>4637181</v>
      </c>
      <c r="C58" s="65">
        <f>+C54+C55+C56+C57</f>
        <v>198133.36</v>
      </c>
      <c r="D58" s="66">
        <f t="shared" si="12"/>
        <v>4.2727000000000004</v>
      </c>
      <c r="E58" s="65">
        <f>+E54+E55+E56+E57</f>
        <v>114258.01</v>
      </c>
      <c r="F58" s="66">
        <f t="shared" si="13"/>
        <v>2.464</v>
      </c>
      <c r="G58" s="65">
        <f>+G54+G55+G56+G57</f>
        <v>48602.890000000007</v>
      </c>
      <c r="H58" s="66">
        <f t="shared" si="14"/>
        <v>1.0481</v>
      </c>
      <c r="I58" s="65">
        <f>+I54+I55+I56+I57</f>
        <v>31535.579999999998</v>
      </c>
      <c r="J58" s="66">
        <f t="shared" si="15"/>
        <v>0.68009999999999993</v>
      </c>
      <c r="K58" s="65">
        <f>+K54+K55+K56+K57</f>
        <v>31392.91</v>
      </c>
      <c r="L58" s="66">
        <f t="shared" si="16"/>
        <v>0.67700000000000005</v>
      </c>
      <c r="M58" s="65">
        <f>+M54+M55+M56+M57</f>
        <v>0</v>
      </c>
      <c r="N58" s="65">
        <f>+N54+N55+N56+N57</f>
        <v>36720.729999999996</v>
      </c>
      <c r="O58" s="65">
        <f>+O54+O55+O56+O57</f>
        <v>460643.48000000004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</row>
    <row r="59" spans="1:32" x14ac:dyDescent="0.2">
      <c r="A59" t="s">
        <v>12</v>
      </c>
      <c r="B59" s="60">
        <v>0</v>
      </c>
      <c r="C59" s="61">
        <v>0</v>
      </c>
      <c r="D59" s="62" t="e">
        <f t="shared" si="12"/>
        <v>#DIV/0!</v>
      </c>
      <c r="E59" s="61">
        <v>0</v>
      </c>
      <c r="F59" s="62" t="e">
        <f t="shared" si="13"/>
        <v>#DIV/0!</v>
      </c>
      <c r="G59" s="61">
        <v>0</v>
      </c>
      <c r="H59" s="62" t="e">
        <f t="shared" si="14"/>
        <v>#DIV/0!</v>
      </c>
      <c r="I59" s="61">
        <v>0</v>
      </c>
      <c r="J59" s="62" t="e">
        <f t="shared" si="15"/>
        <v>#DIV/0!</v>
      </c>
      <c r="K59" s="61">
        <v>0</v>
      </c>
      <c r="L59" s="62" t="e">
        <f t="shared" si="16"/>
        <v>#DIV/0!</v>
      </c>
      <c r="M59" s="61">
        <v>0</v>
      </c>
      <c r="N59" s="61">
        <v>0</v>
      </c>
      <c r="O59" s="61">
        <f t="shared" si="17"/>
        <v>0</v>
      </c>
    </row>
    <row r="60" spans="1:32" x14ac:dyDescent="0.2">
      <c r="A60" t="s">
        <v>13</v>
      </c>
      <c r="B60" s="60">
        <v>0</v>
      </c>
      <c r="C60" s="61">
        <v>0</v>
      </c>
      <c r="D60" s="62" t="e">
        <f t="shared" si="12"/>
        <v>#DIV/0!</v>
      </c>
      <c r="E60" s="61">
        <v>0</v>
      </c>
      <c r="F60" s="62" t="e">
        <f t="shared" si="13"/>
        <v>#DIV/0!</v>
      </c>
      <c r="G60" s="61">
        <v>0</v>
      </c>
      <c r="H60" s="62" t="e">
        <f t="shared" si="14"/>
        <v>#DIV/0!</v>
      </c>
      <c r="I60" s="61">
        <v>0</v>
      </c>
      <c r="J60" s="62" t="e">
        <f t="shared" si="15"/>
        <v>#DIV/0!</v>
      </c>
      <c r="K60" s="61">
        <v>0</v>
      </c>
      <c r="L60" s="62" t="e">
        <f t="shared" si="16"/>
        <v>#DIV/0!</v>
      </c>
      <c r="M60" s="61">
        <v>0</v>
      </c>
      <c r="N60" s="61">
        <v>0</v>
      </c>
      <c r="O60" s="61">
        <f t="shared" si="17"/>
        <v>0</v>
      </c>
    </row>
    <row r="61" spans="1:32" x14ac:dyDescent="0.2">
      <c r="A61" t="s">
        <v>14</v>
      </c>
      <c r="B61" s="60">
        <v>0</v>
      </c>
      <c r="C61" s="61">
        <v>0</v>
      </c>
      <c r="D61" s="62" t="e">
        <f t="shared" si="12"/>
        <v>#DIV/0!</v>
      </c>
      <c r="E61" s="61">
        <v>0</v>
      </c>
      <c r="F61" s="62" t="e">
        <f t="shared" si="13"/>
        <v>#DIV/0!</v>
      </c>
      <c r="G61" s="61">
        <v>0</v>
      </c>
      <c r="H61" s="62" t="e">
        <f t="shared" si="14"/>
        <v>#DIV/0!</v>
      </c>
      <c r="I61" s="61">
        <v>0</v>
      </c>
      <c r="J61" s="62" t="e">
        <f t="shared" si="15"/>
        <v>#DIV/0!</v>
      </c>
      <c r="K61" s="61">
        <v>0</v>
      </c>
      <c r="L61" s="62" t="e">
        <f t="shared" si="16"/>
        <v>#DIV/0!</v>
      </c>
      <c r="M61" s="61">
        <v>0</v>
      </c>
      <c r="N61" s="61">
        <v>0</v>
      </c>
      <c r="O61" s="61">
        <f t="shared" si="17"/>
        <v>0</v>
      </c>
    </row>
    <row r="62" spans="1:32" x14ac:dyDescent="0.2"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32" x14ac:dyDescent="0.2">
      <c r="A63" s="63" t="s">
        <v>24</v>
      </c>
      <c r="B63" s="67">
        <f>+B58+B59+B60+B61</f>
        <v>4637181</v>
      </c>
      <c r="C63" s="68">
        <f>+C58+C59+C60+C61</f>
        <v>198133.36</v>
      </c>
      <c r="D63" s="66">
        <f>ROUND(C63/B63,6)*100</f>
        <v>4.2727000000000004</v>
      </c>
      <c r="E63" s="68">
        <f>+E58+E59+E60+E61</f>
        <v>114258.01</v>
      </c>
      <c r="F63" s="66">
        <f>ROUND(E63/B63,6)*100</f>
        <v>2.464</v>
      </c>
      <c r="G63" s="68">
        <f>+G58+G59+G60+G61</f>
        <v>48602.890000000007</v>
      </c>
      <c r="H63" s="66">
        <f>ROUND(G63/B63,6)*100</f>
        <v>1.0481</v>
      </c>
      <c r="I63" s="68">
        <f>+I58+I59+I60+I61</f>
        <v>31535.579999999998</v>
      </c>
      <c r="J63" s="66">
        <f>ROUND(I63/B63,6)*100</f>
        <v>0.68009999999999993</v>
      </c>
      <c r="K63" s="68">
        <f>+K58+K59+K60+K61</f>
        <v>31392.91</v>
      </c>
      <c r="L63" s="66">
        <f>ROUND(K63/B63,6)*100</f>
        <v>0.67700000000000005</v>
      </c>
      <c r="M63" s="68">
        <f>+M58+M59+M60+M61</f>
        <v>0</v>
      </c>
      <c r="N63" s="68">
        <f>+N58+N59+N60+N61</f>
        <v>36720.729999999996</v>
      </c>
      <c r="O63" s="68">
        <f>+O58+O59+O60+O61</f>
        <v>460643.48000000004</v>
      </c>
      <c r="P63" s="63"/>
      <c r="Q63" s="63"/>
      <c r="R63" s="63"/>
      <c r="S63" s="63"/>
      <c r="T63" s="63"/>
      <c r="U63" s="63"/>
      <c r="V63" s="63"/>
      <c r="W63" s="63"/>
      <c r="X63" s="63"/>
      <c r="Y63" s="63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7"/>
  <sheetViews>
    <sheetView topLeftCell="A20" workbookViewId="0">
      <selection sqref="A1:E38"/>
    </sheetView>
  </sheetViews>
  <sheetFormatPr defaultRowHeight="12.75" x14ac:dyDescent="0.2"/>
  <cols>
    <col min="1" max="1" width="23.7109375" customWidth="1"/>
    <col min="2" max="5" width="15.7109375" customWidth="1"/>
  </cols>
  <sheetData>
    <row r="1" spans="1:5" x14ac:dyDescent="0.2">
      <c r="A1" t="s">
        <v>0</v>
      </c>
    </row>
    <row r="3" spans="1:5" x14ac:dyDescent="0.2">
      <c r="A3" t="s">
        <v>80</v>
      </c>
    </row>
    <row r="5" spans="1:5" x14ac:dyDescent="0.2">
      <c r="A5" t="s">
        <v>85</v>
      </c>
    </row>
    <row r="6" spans="1:5" x14ac:dyDescent="0.2">
      <c r="A6" t="s">
        <v>86</v>
      </c>
    </row>
    <row r="10" spans="1:5" x14ac:dyDescent="0.2">
      <c r="A10" s="12"/>
      <c r="B10" s="69" t="s">
        <v>29</v>
      </c>
      <c r="C10" s="69" t="s">
        <v>57</v>
      </c>
      <c r="D10" s="69" t="s">
        <v>61</v>
      </c>
      <c r="E10" s="72" t="s">
        <v>89</v>
      </c>
    </row>
    <row r="11" spans="1:5" x14ac:dyDescent="0.2">
      <c r="A11" s="12"/>
      <c r="B11" s="69"/>
      <c r="C11" s="69"/>
      <c r="D11" s="69"/>
      <c r="E11" s="69"/>
    </row>
    <row r="12" spans="1:5" x14ac:dyDescent="0.2">
      <c r="A12" s="12" t="s">
        <v>81</v>
      </c>
      <c r="B12" s="70">
        <f>+HydroRates!D12</f>
        <v>5.3722000000000003</v>
      </c>
      <c r="C12" s="12">
        <f>+HydroRates!D33</f>
        <v>3.1496000000000004</v>
      </c>
      <c r="D12" s="70">
        <f>+HydroRates!D54</f>
        <v>4.2727000000000004</v>
      </c>
      <c r="E12" s="73">
        <f>ROUND((D12-C12)/C12,4)</f>
        <v>0.35659999999999997</v>
      </c>
    </row>
    <row r="13" spans="1:5" x14ac:dyDescent="0.2">
      <c r="A13" s="12" t="s">
        <v>82</v>
      </c>
      <c r="B13" s="70">
        <f>+HydroRates!F12</f>
        <v>0.51170000000000004</v>
      </c>
      <c r="C13" s="12">
        <f>+HydroRates!F33</f>
        <v>2.8123999999999998</v>
      </c>
      <c r="D13" s="70">
        <f>+HydroRates!F54</f>
        <v>2.464</v>
      </c>
      <c r="E13" s="73">
        <f>ROUND((D13-C13)/C13,4)</f>
        <v>-0.1239</v>
      </c>
    </row>
    <row r="14" spans="1:5" x14ac:dyDescent="0.2">
      <c r="A14" s="12" t="s">
        <v>46</v>
      </c>
      <c r="B14" s="70">
        <f>+HydroRates!H12</f>
        <v>2.2991000000000001</v>
      </c>
      <c r="C14" s="12">
        <f>+HydroRates!H33</f>
        <v>1.1135000000000002</v>
      </c>
      <c r="D14" s="70">
        <f>+HydroRates!H54</f>
        <v>1.0481</v>
      </c>
      <c r="E14" s="73">
        <f>ROUND((D14-C14)/C14,4)</f>
        <v>-5.8700000000000002E-2</v>
      </c>
    </row>
    <row r="15" spans="1:5" x14ac:dyDescent="0.2">
      <c r="A15" s="12" t="s">
        <v>84</v>
      </c>
      <c r="B15" s="70">
        <f>+HydroRates!J12</f>
        <v>0.62</v>
      </c>
      <c r="C15" s="12">
        <f>+HydroRates!J33</f>
        <v>0.63559999999999994</v>
      </c>
      <c r="D15" s="70">
        <f>+HydroRates!J54</f>
        <v>0.68009999999999993</v>
      </c>
      <c r="E15" s="73">
        <f>ROUND((D15-C15)/C15,4)</f>
        <v>7.0000000000000007E-2</v>
      </c>
    </row>
    <row r="16" spans="1:5" x14ac:dyDescent="0.2">
      <c r="A16" s="12" t="s">
        <v>83</v>
      </c>
      <c r="B16" s="70">
        <f>+HydroRates!L12</f>
        <v>0.64100000000000001</v>
      </c>
      <c r="C16" s="12">
        <f>+HydroRates!L33</f>
        <v>0.67190000000000005</v>
      </c>
      <c r="D16" s="70">
        <f>+HydroRates!L54</f>
        <v>0.67700000000000005</v>
      </c>
      <c r="E16" s="73">
        <f>ROUND((D16-C16)/C16,4)</f>
        <v>7.6E-3</v>
      </c>
    </row>
    <row r="17" spans="1:5" x14ac:dyDescent="0.2">
      <c r="A17" s="12"/>
      <c r="B17" s="70"/>
      <c r="C17" s="12"/>
      <c r="D17" s="70"/>
      <c r="E17" s="70"/>
    </row>
    <row r="18" spans="1:5" x14ac:dyDescent="0.2">
      <c r="A18" s="12" t="s">
        <v>21</v>
      </c>
      <c r="B18" s="70">
        <f>SUM(B12:B16)</f>
        <v>9.4439999999999991</v>
      </c>
      <c r="C18" s="70">
        <f>SUM(C12:C16)</f>
        <v>8.3830000000000009</v>
      </c>
      <c r="D18" s="70">
        <f>SUM(D12:D16)</f>
        <v>9.1418999999999997</v>
      </c>
      <c r="E18" s="73">
        <f>ROUND((D18-C18)/C18,4)</f>
        <v>9.0499999999999997E-2</v>
      </c>
    </row>
    <row r="19" spans="1:5" x14ac:dyDescent="0.2">
      <c r="A19" s="12"/>
      <c r="B19" s="70"/>
      <c r="C19" s="70"/>
      <c r="D19" s="70"/>
      <c r="E19" s="70"/>
    </row>
    <row r="20" spans="1:5" x14ac:dyDescent="0.2">
      <c r="A20" s="12"/>
      <c r="B20" s="12"/>
      <c r="C20" s="12"/>
      <c r="D20" s="12"/>
      <c r="E20" s="12"/>
    </row>
    <row r="21" spans="1:5" x14ac:dyDescent="0.2">
      <c r="A21" s="12" t="s">
        <v>87</v>
      </c>
      <c r="B21" s="71">
        <f>-HydroRates!M12</f>
        <v>13610.5</v>
      </c>
      <c r="C21" s="71">
        <f>-HydroRates!M33</f>
        <v>5011.74</v>
      </c>
      <c r="D21" s="71">
        <f>-HydroRates!M54</f>
        <v>0</v>
      </c>
      <c r="E21" s="71">
        <f>-HydroRates!N54</f>
        <v>-36720.729999999996</v>
      </c>
    </row>
    <row r="22" spans="1:5" x14ac:dyDescent="0.2">
      <c r="A22" s="12" t="s">
        <v>88</v>
      </c>
      <c r="B22" s="71">
        <f>+HydroRates!N12</f>
        <v>24618.870000000003</v>
      </c>
      <c r="C22" s="71">
        <f>+HydroRates!N33</f>
        <v>22644.43</v>
      </c>
      <c r="D22" s="71">
        <f>+HydroRates!N54</f>
        <v>36720.729999999996</v>
      </c>
      <c r="E22" s="71">
        <f>+HydroRates!O54</f>
        <v>460643.48000000004</v>
      </c>
    </row>
    <row r="37" spans="5:5" x14ac:dyDescent="0.2">
      <c r="E37" s="74" t="s">
        <v>90</v>
      </c>
    </row>
  </sheetData>
  <phoneticPr fontId="3" type="noConversion"/>
  <hyperlinks>
    <hyperlink ref="E37" r:id="rId1"/>
  </hyperlinks>
  <printOptions horizontalCentered="1"/>
  <pageMargins left="0.75" right="0.75" top="1" bottom="1" header="0.5" footer="0.5"/>
  <pageSetup orientation="portrait" r:id="rId2"/>
  <headerFooter alignWithMargins="0">
    <oddFooter>&amp;R&amp;D  &amp;T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35"/>
  <sheetViews>
    <sheetView workbookViewId="0">
      <selection activeCell="A7" sqref="A7"/>
    </sheetView>
  </sheetViews>
  <sheetFormatPr defaultRowHeight="12.75" x14ac:dyDescent="0.2"/>
  <cols>
    <col min="1" max="1" width="45.5703125" customWidth="1"/>
    <col min="2" max="6" width="11.28515625" bestFit="1" customWidth="1"/>
    <col min="7" max="9" width="12.85546875" bestFit="1" customWidth="1"/>
    <col min="10" max="14" width="11.28515625" bestFit="1" customWidth="1"/>
  </cols>
  <sheetData>
    <row r="1" spans="1:14" x14ac:dyDescent="0.2">
      <c r="A1" t="s">
        <v>0</v>
      </c>
    </row>
    <row r="3" spans="1:14" x14ac:dyDescent="0.2">
      <c r="A3" t="s">
        <v>91</v>
      </c>
    </row>
    <row r="6" spans="1:14" x14ac:dyDescent="0.2">
      <c r="A6" t="s">
        <v>81</v>
      </c>
      <c r="B6" s="3" t="s">
        <v>93</v>
      </c>
      <c r="C6" s="3" t="s">
        <v>94</v>
      </c>
      <c r="D6" s="3" t="s">
        <v>95</v>
      </c>
      <c r="E6" s="3" t="s">
        <v>96</v>
      </c>
      <c r="F6" s="3" t="s">
        <v>4</v>
      </c>
      <c r="G6" s="3" t="s">
        <v>97</v>
      </c>
      <c r="H6" s="3" t="s">
        <v>98</v>
      </c>
      <c r="I6" s="3" t="s">
        <v>99</v>
      </c>
      <c r="J6" s="3" t="s">
        <v>100</v>
      </c>
      <c r="K6" s="3" t="s">
        <v>101</v>
      </c>
      <c r="L6" s="3" t="s">
        <v>102</v>
      </c>
      <c r="M6" s="3" t="s">
        <v>103</v>
      </c>
      <c r="N6" s="3" t="s">
        <v>21</v>
      </c>
    </row>
    <row r="7" spans="1:14" x14ac:dyDescent="0.2">
      <c r="A7" t="s">
        <v>92</v>
      </c>
      <c r="B7" s="60">
        <v>816037</v>
      </c>
      <c r="C7" s="60">
        <v>738790</v>
      </c>
      <c r="D7" s="60">
        <v>805020</v>
      </c>
      <c r="E7" s="60">
        <v>761593</v>
      </c>
      <c r="F7" s="60">
        <v>910543</v>
      </c>
      <c r="G7" s="60">
        <v>1043390</v>
      </c>
      <c r="H7" s="60">
        <v>1123281</v>
      </c>
      <c r="I7" s="60">
        <v>1100633</v>
      </c>
      <c r="J7" s="60">
        <v>943136</v>
      </c>
      <c r="K7" s="60">
        <v>857128</v>
      </c>
      <c r="L7" s="60">
        <v>784959</v>
      </c>
      <c r="M7" s="60">
        <v>811680</v>
      </c>
      <c r="N7" s="60">
        <f>SUM(B7:M7)</f>
        <v>10696190</v>
      </c>
    </row>
    <row r="8" spans="1:14" x14ac:dyDescent="0.2">
      <c r="A8" t="s">
        <v>104</v>
      </c>
    </row>
    <row r="9" spans="1:14" x14ac:dyDescent="0.2">
      <c r="A9" t="s">
        <v>105</v>
      </c>
      <c r="E9" s="60">
        <v>787411</v>
      </c>
      <c r="F9" s="60">
        <v>976805</v>
      </c>
      <c r="G9" s="60">
        <v>928401</v>
      </c>
      <c r="H9" s="60">
        <v>1205697</v>
      </c>
      <c r="N9" s="60">
        <f>SUM(B9:M9)</f>
        <v>3898314</v>
      </c>
    </row>
    <row r="10" spans="1:14" x14ac:dyDescent="0.2">
      <c r="E10" s="60"/>
      <c r="F10" s="60"/>
      <c r="G10" s="60"/>
      <c r="H10" s="60"/>
      <c r="N10" s="60"/>
    </row>
    <row r="11" spans="1:14" x14ac:dyDescent="0.2">
      <c r="A11" t="s">
        <v>118</v>
      </c>
      <c r="E11" s="60"/>
      <c r="F11" s="60"/>
      <c r="G11" s="60"/>
      <c r="H11" s="60"/>
      <c r="N11" s="60"/>
    </row>
    <row r="12" spans="1:14" x14ac:dyDescent="0.2">
      <c r="E12" s="60"/>
      <c r="F12" s="60"/>
      <c r="G12" s="60"/>
      <c r="H12" s="60"/>
      <c r="N12" s="60"/>
    </row>
    <row r="13" spans="1:14" x14ac:dyDescent="0.2">
      <c r="A13" t="s">
        <v>119</v>
      </c>
      <c r="E13" s="60"/>
      <c r="F13" s="60"/>
      <c r="G13" s="60"/>
      <c r="H13" s="60"/>
      <c r="N13" s="60"/>
    </row>
    <row r="15" spans="1:14" x14ac:dyDescent="0.2">
      <c r="A15" t="s">
        <v>120</v>
      </c>
      <c r="E15" s="60">
        <v>636962</v>
      </c>
      <c r="F15" s="60">
        <v>768418</v>
      </c>
      <c r="G15" s="60">
        <v>717950</v>
      </c>
      <c r="H15" s="60">
        <v>900134</v>
      </c>
      <c r="N15" s="60">
        <f>SUM(B15:M15)</f>
        <v>3023464</v>
      </c>
    </row>
    <row r="17" spans="1:14" x14ac:dyDescent="0.2">
      <c r="A17" t="s">
        <v>121</v>
      </c>
    </row>
    <row r="21" spans="1:14" x14ac:dyDescent="0.2">
      <c r="A21" t="s">
        <v>106</v>
      </c>
      <c r="B21" s="3" t="s">
        <v>93</v>
      </c>
      <c r="C21" s="3" t="s">
        <v>94</v>
      </c>
      <c r="D21" s="3" t="s">
        <v>95</v>
      </c>
      <c r="E21" s="3" t="s">
        <v>96</v>
      </c>
      <c r="F21" s="3" t="s">
        <v>4</v>
      </c>
      <c r="G21" s="3" t="s">
        <v>97</v>
      </c>
      <c r="H21" s="3" t="s">
        <v>98</v>
      </c>
      <c r="I21" s="3" t="s">
        <v>99</v>
      </c>
      <c r="J21" s="3" t="s">
        <v>100</v>
      </c>
      <c r="K21" s="3" t="s">
        <v>101</v>
      </c>
      <c r="L21" s="3" t="s">
        <v>102</v>
      </c>
      <c r="M21" s="3" t="s">
        <v>103</v>
      </c>
      <c r="N21" s="3" t="s">
        <v>21</v>
      </c>
    </row>
    <row r="22" spans="1:14" x14ac:dyDescent="0.2">
      <c r="A22" t="s">
        <v>92</v>
      </c>
      <c r="B22" s="60">
        <v>347900</v>
      </c>
      <c r="C22" s="60">
        <v>342000</v>
      </c>
      <c r="D22" s="60">
        <v>294700</v>
      </c>
      <c r="E22" s="60">
        <v>222000</v>
      </c>
      <c r="F22" s="60">
        <v>181500</v>
      </c>
      <c r="G22" s="60">
        <v>142600</v>
      </c>
      <c r="H22" s="60">
        <v>144400</v>
      </c>
      <c r="I22" s="60">
        <v>145100</v>
      </c>
      <c r="J22" s="60">
        <v>149000</v>
      </c>
      <c r="K22" s="60">
        <v>181600</v>
      </c>
      <c r="L22" s="60">
        <v>252900</v>
      </c>
      <c r="M22" s="60">
        <v>319000</v>
      </c>
      <c r="N22" s="60">
        <f>SUM(B22:M22)</f>
        <v>2722700</v>
      </c>
    </row>
    <row r="23" spans="1:14" x14ac:dyDescent="0.2">
      <c r="A23" t="s">
        <v>104</v>
      </c>
    </row>
    <row r="24" spans="1:14" x14ac:dyDescent="0.2">
      <c r="A24" t="s">
        <v>105</v>
      </c>
      <c r="E24" s="60">
        <v>196970</v>
      </c>
      <c r="F24" s="60">
        <v>176776</v>
      </c>
      <c r="G24" s="60">
        <v>144592</v>
      </c>
      <c r="H24" s="60">
        <v>143998</v>
      </c>
      <c r="N24" s="60">
        <f>SUM(B24:M24)</f>
        <v>662336</v>
      </c>
    </row>
    <row r="25" spans="1:14" x14ac:dyDescent="0.2">
      <c r="E25" s="60"/>
      <c r="F25" s="60"/>
      <c r="G25" s="60"/>
      <c r="H25" s="60"/>
      <c r="N25" s="60"/>
    </row>
    <row r="26" spans="1:14" x14ac:dyDescent="0.2">
      <c r="A26" t="s">
        <v>118</v>
      </c>
      <c r="E26" s="60"/>
      <c r="F26" s="60"/>
      <c r="G26" s="60"/>
      <c r="H26" s="60"/>
      <c r="N26" s="60"/>
    </row>
    <row r="27" spans="1:14" x14ac:dyDescent="0.2">
      <c r="E27" s="60"/>
      <c r="F27" s="60"/>
      <c r="G27" s="60"/>
      <c r="H27" s="60"/>
      <c r="N27" s="60"/>
    </row>
    <row r="28" spans="1:14" x14ac:dyDescent="0.2">
      <c r="A28" t="s">
        <v>119</v>
      </c>
      <c r="E28" s="60"/>
      <c r="F28" s="60"/>
      <c r="G28" s="60"/>
      <c r="H28" s="60"/>
      <c r="N28" s="60"/>
    </row>
    <row r="30" spans="1:14" x14ac:dyDescent="0.2">
      <c r="A30" t="s">
        <v>120</v>
      </c>
      <c r="E30" s="60">
        <v>165265</v>
      </c>
      <c r="F30" s="60">
        <v>126626</v>
      </c>
      <c r="G30" s="60">
        <v>98298</v>
      </c>
      <c r="H30" s="60">
        <v>94714</v>
      </c>
      <c r="N30" s="60">
        <f>SUM(B30:M30)</f>
        <v>484903</v>
      </c>
    </row>
    <row r="32" spans="1:14" x14ac:dyDescent="0.2">
      <c r="A32" t="s">
        <v>121</v>
      </c>
    </row>
    <row r="35" spans="1:1" x14ac:dyDescent="0.2">
      <c r="A35" t="s">
        <v>122</v>
      </c>
    </row>
  </sheetData>
  <phoneticPr fontId="3" type="noConversion"/>
  <pageMargins left="0.75" right="0.75" top="1" bottom="1" header="0.5" footer="0.5"/>
  <pageSetup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M62"/>
  <sheetViews>
    <sheetView workbookViewId="0">
      <selection activeCell="B1" sqref="B1"/>
    </sheetView>
  </sheetViews>
  <sheetFormatPr defaultRowHeight="12.75" x14ac:dyDescent="0.2"/>
  <cols>
    <col min="1" max="1" width="12.28515625" customWidth="1"/>
    <col min="2" max="2" width="12.7109375" customWidth="1"/>
    <col min="4" max="5" width="12.7109375" customWidth="1"/>
    <col min="7" max="8" width="12.7109375" customWidth="1"/>
    <col min="10" max="11" width="12.7109375" customWidth="1"/>
    <col min="13" max="13" width="12.7109375" customWidth="1"/>
  </cols>
  <sheetData>
    <row r="2" spans="1:13" x14ac:dyDescent="0.2">
      <c r="A2" s="63" t="s">
        <v>107</v>
      </c>
    </row>
    <row r="4" spans="1:13" x14ac:dyDescent="0.2">
      <c r="A4" s="12"/>
      <c r="B4" s="76" t="s">
        <v>108</v>
      </c>
      <c r="C4" s="76"/>
      <c r="D4" s="76"/>
      <c r="E4" s="76" t="s">
        <v>111</v>
      </c>
      <c r="F4" s="76"/>
      <c r="G4" s="76"/>
      <c r="H4" s="76" t="s">
        <v>112</v>
      </c>
      <c r="I4" s="76"/>
      <c r="J4" s="76"/>
      <c r="K4" s="76" t="s">
        <v>113</v>
      </c>
      <c r="L4" s="76"/>
      <c r="M4" s="76"/>
    </row>
    <row r="5" spans="1:13" x14ac:dyDescent="0.2">
      <c r="A5" s="12"/>
      <c r="B5" s="75" t="s">
        <v>109</v>
      </c>
      <c r="C5" s="75" t="s">
        <v>110</v>
      </c>
      <c r="D5" s="75" t="s">
        <v>50</v>
      </c>
      <c r="E5" s="75" t="s">
        <v>109</v>
      </c>
      <c r="F5" s="75" t="s">
        <v>110</v>
      </c>
      <c r="G5" s="75" t="s">
        <v>50</v>
      </c>
      <c r="H5" s="75" t="s">
        <v>109</v>
      </c>
      <c r="I5" s="75" t="s">
        <v>110</v>
      </c>
      <c r="J5" s="75" t="s">
        <v>50</v>
      </c>
      <c r="K5" s="75" t="s">
        <v>109</v>
      </c>
      <c r="L5" s="75" t="s">
        <v>110</v>
      </c>
      <c r="M5" s="75" t="s">
        <v>50</v>
      </c>
    </row>
    <row r="6" spans="1:13" x14ac:dyDescent="0.2">
      <c r="A6" s="12"/>
      <c r="B6" s="69" t="s">
        <v>114</v>
      </c>
      <c r="C6" s="69">
        <v>2</v>
      </c>
      <c r="D6" s="69">
        <v>3</v>
      </c>
      <c r="E6" s="69">
        <v>4</v>
      </c>
      <c r="F6" s="69">
        <v>5</v>
      </c>
      <c r="G6" s="69">
        <v>6</v>
      </c>
      <c r="H6" s="69">
        <v>7</v>
      </c>
      <c r="I6" s="69">
        <v>8</v>
      </c>
      <c r="J6" s="69">
        <v>9</v>
      </c>
      <c r="K6" s="69">
        <v>10</v>
      </c>
      <c r="L6" s="69">
        <v>11</v>
      </c>
      <c r="M6" s="69">
        <v>12</v>
      </c>
    </row>
    <row r="7" spans="1:13" x14ac:dyDescent="0.2">
      <c r="A7" s="12" t="s">
        <v>12</v>
      </c>
      <c r="B7" s="77">
        <v>816037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x14ac:dyDescent="0.2">
      <c r="A8" s="12" t="s">
        <v>13</v>
      </c>
      <c r="B8" s="78">
        <v>738790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">
      <c r="A9" s="12" t="s">
        <v>14</v>
      </c>
      <c r="B9" s="78">
        <v>805020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">
      <c r="A10" s="12" t="s">
        <v>3</v>
      </c>
      <c r="B10" s="78">
        <v>761593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">
      <c r="A11" s="12" t="s">
        <v>4</v>
      </c>
      <c r="B11" s="78">
        <v>910543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">
      <c r="A12" s="12" t="s">
        <v>5</v>
      </c>
      <c r="B12" s="78">
        <v>1043390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2">
      <c r="A13" s="12" t="s">
        <v>6</v>
      </c>
      <c r="B13" s="78">
        <v>1123281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">
      <c r="A14" s="12" t="s">
        <v>7</v>
      </c>
      <c r="B14" s="78">
        <v>1100633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">
      <c r="A15" s="12" t="s">
        <v>8</v>
      </c>
      <c r="B15" s="78">
        <v>943136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">
      <c r="A16" s="12" t="s">
        <v>9</v>
      </c>
      <c r="B16" s="78">
        <v>857128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">
      <c r="A17" s="12" t="s">
        <v>10</v>
      </c>
      <c r="B17" s="78">
        <v>784959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">
      <c r="A18" s="12" t="s">
        <v>11</v>
      </c>
      <c r="B18" s="78">
        <v>811680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">
      <c r="A20" s="12" t="s">
        <v>24</v>
      </c>
      <c r="B20" s="71">
        <f>SUM(B7:B18)</f>
        <v>10696190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3" spans="1:13" x14ac:dyDescent="0.2">
      <c r="A23" s="63" t="s">
        <v>115</v>
      </c>
    </row>
    <row r="25" spans="1:13" x14ac:dyDescent="0.2">
      <c r="A25" s="12"/>
      <c r="B25" s="76" t="s">
        <v>108</v>
      </c>
      <c r="C25" s="76"/>
      <c r="D25" s="76"/>
      <c r="E25" s="76" t="s">
        <v>111</v>
      </c>
      <c r="F25" s="76"/>
      <c r="G25" s="76"/>
      <c r="H25" s="76" t="s">
        <v>112</v>
      </c>
      <c r="I25" s="76"/>
      <c r="J25" s="76"/>
      <c r="K25" s="76" t="s">
        <v>113</v>
      </c>
      <c r="L25" s="76"/>
      <c r="M25" s="76"/>
    </row>
    <row r="26" spans="1:13" x14ac:dyDescent="0.2">
      <c r="A26" s="12"/>
      <c r="B26" s="75" t="s">
        <v>116</v>
      </c>
      <c r="C26" s="75" t="s">
        <v>110</v>
      </c>
      <c r="D26" s="75" t="s">
        <v>50</v>
      </c>
      <c r="E26" s="75" t="s">
        <v>116</v>
      </c>
      <c r="F26" s="75" t="s">
        <v>110</v>
      </c>
      <c r="G26" s="75" t="s">
        <v>50</v>
      </c>
      <c r="H26" s="75" t="s">
        <v>116</v>
      </c>
      <c r="I26" s="75" t="s">
        <v>110</v>
      </c>
      <c r="J26" s="75" t="s">
        <v>50</v>
      </c>
      <c r="K26" s="75" t="s">
        <v>116</v>
      </c>
      <c r="L26" s="75" t="s">
        <v>110</v>
      </c>
      <c r="M26" s="75" t="s">
        <v>50</v>
      </c>
    </row>
    <row r="27" spans="1:13" x14ac:dyDescent="0.2">
      <c r="A27" s="12"/>
      <c r="B27" s="69" t="s">
        <v>114</v>
      </c>
      <c r="C27" s="69">
        <v>2</v>
      </c>
      <c r="D27" s="69">
        <v>3</v>
      </c>
      <c r="E27" s="69">
        <v>4</v>
      </c>
      <c r="F27" s="69">
        <v>5</v>
      </c>
      <c r="G27" s="69">
        <v>6</v>
      </c>
      <c r="H27" s="69">
        <v>7</v>
      </c>
      <c r="I27" s="69">
        <v>8</v>
      </c>
      <c r="J27" s="69">
        <v>9</v>
      </c>
      <c r="K27" s="69">
        <v>10</v>
      </c>
      <c r="L27" s="69">
        <v>11</v>
      </c>
      <c r="M27" s="69">
        <v>12</v>
      </c>
    </row>
    <row r="28" spans="1:13" x14ac:dyDescent="0.2">
      <c r="A28" s="12" t="s">
        <v>12</v>
      </c>
      <c r="B28" s="77">
        <v>347900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x14ac:dyDescent="0.2">
      <c r="A29" s="12" t="s">
        <v>13</v>
      </c>
      <c r="B29" s="78">
        <v>342000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">
      <c r="A30" s="12" t="s">
        <v>14</v>
      </c>
      <c r="B30" s="78">
        <v>294700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">
      <c r="A31" s="12" t="s">
        <v>3</v>
      </c>
      <c r="B31" s="78">
        <v>222000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">
      <c r="A32" s="12" t="s">
        <v>4</v>
      </c>
      <c r="B32" s="78">
        <v>181500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">
      <c r="A33" s="12" t="s">
        <v>5</v>
      </c>
      <c r="B33" s="78">
        <v>142600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">
      <c r="A34" s="12" t="s">
        <v>6</v>
      </c>
      <c r="B34" s="78">
        <v>144400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">
      <c r="A35" s="12" t="s">
        <v>7</v>
      </c>
      <c r="B35" s="78">
        <v>145100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">
      <c r="A36" s="12" t="s">
        <v>8</v>
      </c>
      <c r="B36" s="78">
        <v>149000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">
      <c r="A37" s="12" t="s">
        <v>9</v>
      </c>
      <c r="B37" s="78">
        <v>181600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">
      <c r="A38" s="12" t="s">
        <v>10</v>
      </c>
      <c r="B38" s="78">
        <v>252900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">
      <c r="A39" s="12" t="s">
        <v>11</v>
      </c>
      <c r="B39" s="78">
        <v>319000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">
      <c r="A41" s="12" t="s">
        <v>24</v>
      </c>
      <c r="B41" s="71">
        <f>SUM(B28:B39)</f>
        <v>2722700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4" spans="1:13" x14ac:dyDescent="0.2">
      <c r="A44" s="63" t="s">
        <v>117</v>
      </c>
    </row>
    <row r="46" spans="1:13" x14ac:dyDescent="0.2">
      <c r="A46" s="12"/>
      <c r="B46" s="76" t="s">
        <v>108</v>
      </c>
      <c r="C46" s="76"/>
      <c r="D46" s="76"/>
      <c r="E46" s="76" t="s">
        <v>111</v>
      </c>
      <c r="F46" s="76"/>
      <c r="G46" s="76"/>
      <c r="H46" s="76" t="s">
        <v>112</v>
      </c>
      <c r="I46" s="76"/>
      <c r="J46" s="76"/>
      <c r="K46" s="76" t="s">
        <v>113</v>
      </c>
      <c r="L46" s="76"/>
      <c r="M46" s="76"/>
    </row>
    <row r="47" spans="1:13" x14ac:dyDescent="0.2">
      <c r="A47" s="12"/>
      <c r="B47" s="75" t="s">
        <v>31</v>
      </c>
      <c r="C47" s="75" t="s">
        <v>31</v>
      </c>
      <c r="D47" s="75" t="s">
        <v>50</v>
      </c>
      <c r="E47" s="75" t="s">
        <v>116</v>
      </c>
      <c r="F47" s="75" t="s">
        <v>110</v>
      </c>
      <c r="G47" s="75" t="s">
        <v>50</v>
      </c>
      <c r="H47" s="75" t="s">
        <v>116</v>
      </c>
      <c r="I47" s="75" t="s">
        <v>110</v>
      </c>
      <c r="J47" s="75" t="s">
        <v>50</v>
      </c>
      <c r="K47" s="75" t="s">
        <v>116</v>
      </c>
      <c r="L47" s="75" t="s">
        <v>110</v>
      </c>
      <c r="M47" s="75" t="s">
        <v>50</v>
      </c>
    </row>
    <row r="48" spans="1:13" x14ac:dyDescent="0.2">
      <c r="A48" s="12"/>
      <c r="B48" s="69" t="s">
        <v>114</v>
      </c>
      <c r="C48" s="69">
        <v>2</v>
      </c>
      <c r="D48" s="69">
        <v>3</v>
      </c>
      <c r="E48" s="69">
        <v>4</v>
      </c>
      <c r="F48" s="69">
        <v>5</v>
      </c>
      <c r="G48" s="69">
        <v>6</v>
      </c>
      <c r="H48" s="69">
        <v>7</v>
      </c>
      <c r="I48" s="69">
        <v>8</v>
      </c>
      <c r="J48" s="69">
        <v>9</v>
      </c>
      <c r="K48" s="69">
        <v>10</v>
      </c>
      <c r="L48" s="69">
        <v>11</v>
      </c>
      <c r="M48" s="69">
        <v>12</v>
      </c>
    </row>
    <row r="49" spans="1:13" x14ac:dyDescent="0.2">
      <c r="A49" s="12" t="s">
        <v>12</v>
      </c>
      <c r="B49" s="77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1:13" x14ac:dyDescent="0.2">
      <c r="A50" s="12" t="s">
        <v>13</v>
      </c>
      <c r="B50" s="78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">
      <c r="A51" s="12" t="s">
        <v>14</v>
      </c>
      <c r="B51" s="78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">
      <c r="A52" s="12" t="s">
        <v>3</v>
      </c>
      <c r="B52" s="78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">
      <c r="A53" s="12" t="s">
        <v>4</v>
      </c>
      <c r="B53" s="78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">
      <c r="A54" s="12" t="s">
        <v>5</v>
      </c>
      <c r="B54" s="78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">
      <c r="A55" s="12" t="s">
        <v>6</v>
      </c>
      <c r="B55" s="78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">
      <c r="A56" s="12" t="s">
        <v>7</v>
      </c>
      <c r="B56" s="78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">
      <c r="A57" s="12" t="s">
        <v>8</v>
      </c>
      <c r="B57" s="78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">
      <c r="A58" s="12" t="s">
        <v>9</v>
      </c>
      <c r="B58" s="78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">
      <c r="A59" s="12" t="s">
        <v>10</v>
      </c>
      <c r="B59" s="78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">
      <c r="A60" s="12" t="s">
        <v>11</v>
      </c>
      <c r="B60" s="78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">
      <c r="A62" s="12" t="s">
        <v>24</v>
      </c>
      <c r="B62" s="71">
        <f>SUM(B49:B60)</f>
        <v>0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HeatingDetail</vt:lpstr>
      <vt:lpstr>HydroDetail</vt:lpstr>
      <vt:lpstr>Water</vt:lpstr>
      <vt:lpstr>HeatingHydroSummary</vt:lpstr>
      <vt:lpstr>HydroRates</vt:lpstr>
      <vt:lpstr>HydroRatesSummary</vt:lpstr>
      <vt:lpstr>Retrofit</vt:lpstr>
      <vt:lpstr>Sheet2</vt:lpstr>
      <vt:lpstr>HydroRatesSummary!chart</vt:lpstr>
      <vt:lpstr>HeatingDetail!Print_Area</vt:lpstr>
      <vt:lpstr>HydroDetail!Print_Area</vt:lpstr>
    </vt:vector>
  </TitlesOfParts>
  <Company>Timmins and District Hospital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bbennetts</dc:creator>
  <cp:lastModifiedBy>Karen Ann Conlon (6391)</cp:lastModifiedBy>
  <cp:lastPrinted>2010-10-25T19:49:49Z</cp:lastPrinted>
  <dcterms:created xsi:type="dcterms:W3CDTF">2008-09-30T19:13:30Z</dcterms:created>
  <dcterms:modified xsi:type="dcterms:W3CDTF">2015-07-06T16:48:36Z</dcterms:modified>
</cp:coreProperties>
</file>